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75" activeTab="2"/>
  </bookViews>
  <sheets>
    <sheet name="Prognoza" sheetId="1" r:id="rId1"/>
    <sheet name="Startowa" sheetId="2" r:id="rId2"/>
    <sheet name="Przedsięwzięcia" sheetId="3" r:id="rId3"/>
    <sheet name="Ciągłość" sheetId="4" r:id="rId4"/>
    <sheet name="Arkusz1" sheetId="5" r:id="rId5"/>
  </sheets>
  <definedNames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<sst xmlns="http://schemas.openxmlformats.org/spreadsheetml/2006/main" count="283" uniqueCount="127">
  <si>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</si>
  <si>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</si>
  <si>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</si>
  <si>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</si>
  <si>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</si>
  <si>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</si>
  <si>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</si>
  <si>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</si>
  <si>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</si>
  <si>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</si>
  <si>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</si>
  <si>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</si>
  <si>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</si>
  <si>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</si>
  <si>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</si>
  <si>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</si>
  <si>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</si>
  <si>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</si>
  <si>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</si>
  <si>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</si>
  <si>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</si>
  <si>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</si>
  <si>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</si>
  <si>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</si>
  <si>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</si>
  <si>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</si>
  <si>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</si>
  <si>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</si>
  <si>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</si>
  <si>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</si>
  <si>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</si>
  <si>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</si>
  <si>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</si>
  <si>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</si>
  <si>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</si>
  <si>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</si>
  <si>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</si>
  <si>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</si>
  <si>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</si>
  <si>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</si>
  <si>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</si>
  <si>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</si>
  <si>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</si>
  <si>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</si>
  <si>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</si>
  <si>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</si>
  <si>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</si>
  <si>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sprzedaż majątku</t>
  </si>
  <si>
    <t>wynagrodzenia i składki od nich naliczane</t>
  </si>
  <si>
    <t>Równowaga budżetowa D+ P - W - R = 0</t>
  </si>
  <si>
    <t>(Dochody bieżące+ sprzedaż majątku-wydatki bieżące)/ dochody ogółem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</si>
  <si>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</si>
  <si>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</si>
  <si>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</si>
  <si>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X</t>
  </si>
  <si>
    <t>obsługa długu</t>
  </si>
  <si>
    <t>spłata długu</t>
  </si>
  <si>
    <t>spłata zaciągniętęgo długu</t>
  </si>
  <si>
    <t>Sprzedaż majątku</t>
  </si>
  <si>
    <t>UG</t>
  </si>
  <si>
    <t>Dług na koniec 2009 roku</t>
  </si>
  <si>
    <t>A.</t>
  </si>
  <si>
    <t>B.</t>
  </si>
  <si>
    <t>C.</t>
  </si>
  <si>
    <t>D.</t>
  </si>
  <si>
    <t>E.</t>
  </si>
  <si>
    <t>Łącznie ( I + II + III+IV)</t>
  </si>
  <si>
    <t>e</t>
  </si>
  <si>
    <t>Relacja z art. 169 ustawy o finansach publicznych z dnia 30 czerwca 2005r (max 15%)</t>
  </si>
  <si>
    <t>Relacja z art. 170 ustawy o finansach publicznych z dnia 30 czerwca 2005r (max 60%)</t>
  </si>
  <si>
    <t>F.</t>
  </si>
  <si>
    <t>G.</t>
  </si>
  <si>
    <t>H.</t>
  </si>
  <si>
    <t>I.</t>
  </si>
  <si>
    <t>J.</t>
  </si>
  <si>
    <t>K.</t>
  </si>
  <si>
    <t>Obsługa długu związana z UE</t>
  </si>
  <si>
    <t>Spłata długu związana z UE</t>
  </si>
  <si>
    <t>Relacja z art. 169 ustawy o finansach publicznych z dnia 30 czerwca 2005r (max 15%) bez UE</t>
  </si>
  <si>
    <t>Relacja z art. 170 ustawy o finansach publicznych z dnia 30 czerwca 2005r (max 60%) bez UE</t>
  </si>
  <si>
    <t>(R + O) / D bez UE</t>
  </si>
  <si>
    <t>L.</t>
  </si>
  <si>
    <t>Dług na koniec roku związany z UE.</t>
  </si>
  <si>
    <t>Różnica dochody bieżące + nadwyżka z lat ubiegłych+ wolne środki - wydatki bieżące (art. 242 ust. 1 ufp) - od roku 2011 nie może być ze znakiem "minus"</t>
  </si>
  <si>
    <t>Sposób sfinansowania długu</t>
  </si>
  <si>
    <t>IX.</t>
  </si>
  <si>
    <t>X.</t>
  </si>
  <si>
    <t>XI.</t>
  </si>
  <si>
    <t>XII.</t>
  </si>
  <si>
    <t>Relacja o ktorej mowa w art. 243  ustawy z dnia 27 sierpnia 2009r o finansach publicznych (Dz. U. Nr 157, poz. 1240) - od roku 2014 nie może być ze znakiem "minus" - bez UE</t>
  </si>
  <si>
    <t>Załącznik nr 2 do Wieloletniej Prognozy Finansowej - część B</t>
  </si>
  <si>
    <t>Tabela startowa do WPF</t>
  </si>
  <si>
    <t xml:space="preserve">Wieloletnie poręczenia i gwarancje, o których mowa w art. 226, ust. 4 pkt 3 ufp </t>
  </si>
  <si>
    <t>Jak w części B załącznika</t>
  </si>
  <si>
    <t>Limit obciążeń budżetu spłatą długu, kosztami jego obsługi oraz poręczeniami i gwarancjami - zgodnie z art. 243 ust. 1 ustawy o finansach publicznych - średnia z trzech poprzednich lat</t>
  </si>
  <si>
    <t>Relacja o ktorej mowa w art. 243  ustawy z dnia 27 sierpnia 2009r o finansach publicznych  (poz. X minus poz. IX)- nie może być ze znakiem "minus"</t>
  </si>
  <si>
    <t xml:space="preserve">Przypadające na jednostkę kwoty zobowiązań związków j.s.t. </t>
  </si>
  <si>
    <t>Gwarancje i poręczenia związane z UE -sam. os. prawne</t>
  </si>
  <si>
    <t>(Dochody bieżące + sprzedaż majątku - wydatki bieżące) / dochody ogółem: (Db+Sm-Wb)/D - dla danego roku</t>
  </si>
  <si>
    <t>Obciążenia spłatami wg art. 243 ust 1 ustawy o finansach publicznych - część wzoru w treści:                           (R + O)/D</t>
  </si>
  <si>
    <t>2010*</t>
  </si>
  <si>
    <t>Tabela główna</t>
  </si>
  <si>
    <t>Wielkości początkowe za lata 2008 - 2009 do obliczenia relacji,      o której mowa w art. 243 ufp</t>
  </si>
  <si>
    <t>Nakłady poniesione w latach poprzednich</t>
  </si>
  <si>
    <t>nadwyżka budżetowa</t>
  </si>
  <si>
    <t xml:space="preserve">Przedsięwzięcia </t>
  </si>
  <si>
    <t xml:space="preserve">gwarancje i poręczenia </t>
  </si>
  <si>
    <t xml:space="preserve">Dług / Prognoza kwoty długu </t>
  </si>
  <si>
    <t>Umowy, o których mowa w art. 226, ust. 4 pkt 2 ufp (zapewnienie ciągłości dzialania jednostki)</t>
  </si>
  <si>
    <t>Limity wydatków</t>
  </si>
  <si>
    <t>Limit zobowiązań</t>
  </si>
  <si>
    <t xml:space="preserve">Limity wydatków </t>
  </si>
  <si>
    <t>RECReate - Stworzenie nowego produktu turystycznego na obszarze Południowego Bałtyku</t>
  </si>
  <si>
    <t>UM</t>
  </si>
  <si>
    <t>2011-2012</t>
  </si>
  <si>
    <t>CTF - zdobywanie przyszłości - wymiana informacji z zakresu biznesu i rozwoju w Regionie Południowego Bałtyku</t>
  </si>
  <si>
    <t>2010-2012</t>
  </si>
  <si>
    <t>Rewitalizacja centrum Lęborka</t>
  </si>
  <si>
    <t>2009-2012</t>
  </si>
  <si>
    <t xml:space="preserve">Budowa i przebudowa systemów odbioru,odprowadzania i oczyszczania wód opadowych i roztopowych - </t>
  </si>
  <si>
    <t>Poręczenia kredytów</t>
  </si>
  <si>
    <t>2011-2030</t>
  </si>
  <si>
    <t>Iluminacja zabytkowych kościołów</t>
  </si>
  <si>
    <t xml:space="preserve">*przewidywane wykonanie  </t>
  </si>
  <si>
    <t>Wieloletnia Prognoza Finansowa Miasta Lęborka na lata 2011-2030</t>
  </si>
  <si>
    <t>Załacznik Nr 1                               do Uchwały Nr ……...........            Rady Miejskiej w Lęborku                     z dnia …………...………..……</t>
  </si>
  <si>
    <t>Załacznik Nr 2                                                         do Uchwały Nr ……...........                               Rady Miejskiej w Lęborku                                      z dnia …………...………..……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</si>
</sst>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double"/>
      <bottom style="double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2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20" borderId="0" xfId="0" applyFill="1" applyAlignment="1" applyProtection="1">
      <alignment horizontal="center" vertical="center"/>
      <protection/>
    </xf>
    <xf numFmtId="0" fontId="0" fillId="20" borderId="0" xfId="0" applyFill="1" applyAlignment="1" applyProtection="1">
      <alignment vertical="center"/>
      <protection/>
    </xf>
    <xf numFmtId="0" fontId="0" fillId="20" borderId="0" xfId="0" applyFill="1" applyAlignment="1" applyProtection="1">
      <alignment vertical="center" wrapText="1"/>
      <protection/>
    </xf>
    <xf numFmtId="0" fontId="2" fillId="20" borderId="13" xfId="0" applyFont="1" applyFill="1" applyBorder="1" applyAlignment="1" applyProtection="1">
      <alignment horizontal="center" vertical="center"/>
      <protection/>
    </xf>
    <xf numFmtId="4" fontId="2" fillId="20" borderId="14" xfId="0" applyNumberFormat="1" applyFont="1" applyFill="1" applyBorder="1" applyAlignment="1" applyProtection="1">
      <alignment horizontal="center" vertical="center"/>
      <protection/>
    </xf>
    <xf numFmtId="4" fontId="3" fillId="20" borderId="15" xfId="0" applyNumberFormat="1" applyFont="1" applyFill="1" applyBorder="1" applyAlignment="1" applyProtection="1">
      <alignment horizontal="center" vertical="center"/>
      <protection/>
    </xf>
    <xf numFmtId="4" fontId="3" fillId="20" borderId="16" xfId="0" applyNumberFormat="1" applyFon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5" xfId="0" applyNumberFormat="1" applyFill="1" applyBorder="1" applyAlignment="1" applyProtection="1">
      <alignment horizontal="center" vertical="center"/>
      <protection/>
    </xf>
    <xf numFmtId="4" fontId="0" fillId="20" borderId="16" xfId="0" applyNumberFormat="1" applyFill="1" applyBorder="1" applyAlignment="1" applyProtection="1">
      <alignment horizontal="center" vertical="center"/>
      <protection/>
    </xf>
    <xf numFmtId="4" fontId="0" fillId="20" borderId="10" xfId="0" applyNumberFormat="1" applyFill="1" applyBorder="1" applyAlignment="1" applyProtection="1">
      <alignment vertical="center" wrapText="1"/>
      <protection/>
    </xf>
    <xf numFmtId="4" fontId="2" fillId="20" borderId="15" xfId="0" applyNumberFormat="1" applyFont="1" applyFill="1" applyBorder="1" applyAlignment="1" applyProtection="1">
      <alignment horizontal="center" vertical="center"/>
      <protection/>
    </xf>
    <xf numFmtId="4" fontId="0" fillId="20" borderId="16" xfId="0" applyNumberFormat="1" applyFill="1" applyBorder="1" applyAlignment="1" applyProtection="1">
      <alignment horizontal="center" vertical="center" textRotation="90"/>
      <protection/>
    </xf>
    <xf numFmtId="4" fontId="0" fillId="20" borderId="16" xfId="0" applyNumberForma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7" xfId="0" applyNumberFormat="1" applyFill="1" applyBorder="1" applyAlignment="1" applyProtection="1">
      <alignment vertical="center" wrapText="1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8" xfId="0" applyNumberFormat="1" applyFont="1" applyFill="1" applyBorder="1" applyAlignment="1" applyProtection="1">
      <alignment horizontal="center" vertical="center"/>
      <protection/>
    </xf>
    <xf numFmtId="4" fontId="2" fillId="20" borderId="19" xfId="0" applyNumberFormat="1" applyFont="1" applyFill="1" applyBorder="1" applyAlignment="1" applyProtection="1">
      <alignment horizontal="center" vertical="center"/>
      <protection/>
    </xf>
    <xf numFmtId="4" fontId="3" fillId="20" borderId="0" xfId="0" applyNumberFormat="1" applyFont="1" applyFill="1" applyBorder="1" applyAlignment="1" applyProtection="1">
      <alignment horizontal="left" vertical="center"/>
      <protection/>
    </xf>
    <xf numFmtId="4" fontId="0" fillId="20" borderId="20" xfId="0" applyNumberFormat="1" applyFill="1" applyBorder="1" applyAlignment="1" applyProtection="1">
      <alignment horizontal="center" vertical="center"/>
      <protection/>
    </xf>
    <xf numFmtId="0" fontId="5" fillId="20" borderId="0" xfId="0" applyFont="1" applyFill="1" applyAlignment="1" applyProtection="1">
      <alignment vertical="center"/>
      <protection/>
    </xf>
    <xf numFmtId="10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21" xfId="0" applyNumberFormat="1" applyFont="1" applyFill="1" applyBorder="1" applyAlignment="1" applyProtection="1">
      <alignment horizontal="center" vertical="center"/>
      <protection/>
    </xf>
    <xf numFmtId="3" fontId="2" fillId="20" borderId="22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 locked="0"/>
    </xf>
    <xf numFmtId="3" fontId="0" fillId="24" borderId="10" xfId="0" applyNumberForma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/>
    </xf>
    <xf numFmtId="3" fontId="0" fillId="24" borderId="10" xfId="0" applyNumberFormat="1" applyFill="1" applyBorder="1" applyAlignment="1" applyProtection="1">
      <alignment horizontal="right" vertical="center"/>
      <protection/>
    </xf>
    <xf numFmtId="4" fontId="0" fillId="24" borderId="10" xfId="0" applyNumberForma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 locked="0"/>
    </xf>
    <xf numFmtId="3" fontId="0" fillId="20" borderId="10" xfId="0" applyNumberFormat="1" applyFill="1" applyBorder="1" applyAlignment="1" applyProtection="1">
      <alignment horizontal="center" vertical="center"/>
      <protection/>
    </xf>
    <xf numFmtId="3" fontId="0" fillId="20" borderId="21" xfId="0" applyNumberFormat="1" applyFont="1" applyFill="1" applyBorder="1" applyAlignment="1" applyProtection="1">
      <alignment vertical="center"/>
      <protection/>
    </xf>
    <xf numFmtId="10" fontId="0" fillId="20" borderId="10" xfId="0" applyNumberFormat="1" applyFont="1" applyFill="1" applyBorder="1" applyAlignment="1" applyProtection="1">
      <alignment horizontal="center" vertical="center"/>
      <protection/>
    </xf>
    <xf numFmtId="3" fontId="0" fillId="0" borderId="22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0" fontId="0" fillId="20" borderId="0" xfId="0" applyFill="1" applyAlignment="1">
      <alignment/>
    </xf>
    <xf numFmtId="0" fontId="0" fillId="20" borderId="0" xfId="0" applyFill="1" applyAlignment="1">
      <alignment horizontal="left" wrapText="1"/>
    </xf>
    <xf numFmtId="0" fontId="2" fillId="20" borderId="25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0" fillId="20" borderId="26" xfId="0" applyFill="1" applyBorder="1" applyAlignment="1">
      <alignment horizontal="center" vertical="center"/>
    </xf>
    <xf numFmtId="0" fontId="0" fillId="20" borderId="22" xfId="0" applyFill="1" applyBorder="1" applyAlignment="1">
      <alignment vertical="center"/>
    </xf>
    <xf numFmtId="0" fontId="0" fillId="20" borderId="20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2" fillId="20" borderId="0" xfId="0" applyFont="1" applyFill="1" applyAlignment="1">
      <alignment horizontal="center"/>
    </xf>
    <xf numFmtId="0" fontId="0" fillId="20" borderId="0" xfId="0" applyFill="1" applyBorder="1" applyAlignment="1">
      <alignment vertical="center"/>
    </xf>
    <xf numFmtId="0" fontId="0" fillId="20" borderId="0" xfId="0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20" borderId="0" xfId="0" applyFill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0" fillId="20" borderId="20" xfId="0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vertical="center" wrapText="1"/>
    </xf>
    <xf numFmtId="0" fontId="0" fillId="20" borderId="10" xfId="0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 wrapText="1"/>
    </xf>
    <xf numFmtId="3" fontId="0" fillId="20" borderId="10" xfId="0" applyNumberFormat="1" applyFill="1" applyBorder="1" applyAlignment="1">
      <alignment horizontal="center" vertical="center"/>
    </xf>
    <xf numFmtId="3" fontId="0" fillId="20" borderId="30" xfId="0" applyNumberFormat="1" applyFill="1" applyBorder="1" applyAlignment="1">
      <alignment horizontal="center" vertical="center"/>
    </xf>
    <xf numFmtId="0" fontId="0" fillId="20" borderId="26" xfId="0" applyFill="1" applyBorder="1" applyAlignment="1">
      <alignment horizontal="center" vertical="center"/>
    </xf>
    <xf numFmtId="0" fontId="0" fillId="20" borderId="17" xfId="0" applyFill="1" applyBorder="1" applyAlignment="1">
      <alignment vertical="center" wrapText="1"/>
    </xf>
    <xf numFmtId="0" fontId="0" fillId="20" borderId="21" xfId="0" applyFill="1" applyBorder="1" applyAlignment="1">
      <alignment horizontal="center" vertical="center"/>
    </xf>
    <xf numFmtId="3" fontId="0" fillId="20" borderId="21" xfId="0" applyNumberFormat="1" applyFill="1" applyBorder="1" applyAlignment="1">
      <alignment horizontal="center" vertical="center"/>
    </xf>
    <xf numFmtId="3" fontId="0" fillId="24" borderId="21" xfId="0" applyNumberFormat="1" applyFill="1" applyBorder="1" applyAlignment="1">
      <alignment horizontal="center" vertical="center"/>
    </xf>
    <xf numFmtId="3" fontId="0" fillId="24" borderId="31" xfId="0" applyNumberForma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16" xfId="0" applyNumberFormat="1" applyFont="1" applyFill="1" applyBorder="1" applyAlignment="1">
      <alignment horizontal="center" vertical="center"/>
    </xf>
    <xf numFmtId="3" fontId="2" fillId="20" borderId="24" xfId="0" applyNumberFormat="1" applyFont="1" applyFill="1" applyBorder="1" applyAlignment="1">
      <alignment horizontal="center" vertical="center"/>
    </xf>
    <xf numFmtId="0" fontId="0" fillId="20" borderId="32" xfId="0" applyFill="1" applyBorder="1" applyAlignment="1">
      <alignment vertical="center" wrapText="1"/>
    </xf>
    <xf numFmtId="3" fontId="0" fillId="24" borderId="10" xfId="0" applyNumberFormat="1" applyFill="1" applyBorder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0" fontId="4" fillId="20" borderId="33" xfId="0" applyFont="1" applyFill="1" applyBorder="1" applyAlignment="1">
      <alignment horizontal="center" vertical="center"/>
    </xf>
    <xf numFmtId="3" fontId="4" fillId="20" borderId="33" xfId="0" applyNumberFormat="1" applyFont="1" applyFill="1" applyBorder="1" applyAlignment="1">
      <alignment horizontal="center" vertical="center"/>
    </xf>
    <xf numFmtId="3" fontId="4" fillId="20" borderId="3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20" borderId="0" xfId="0" applyFill="1" applyAlignment="1">
      <alignment horizontal="center"/>
    </xf>
    <xf numFmtId="49" fontId="0" fillId="20" borderId="17" xfId="0" applyNumberFormat="1" applyFill="1" applyBorder="1" applyAlignment="1">
      <alignment vertical="center" wrapText="1"/>
    </xf>
    <xf numFmtId="3" fontId="0" fillId="20" borderId="10" xfId="0" applyNumberFormat="1" applyFill="1" applyBorder="1" applyAlignment="1">
      <alignment horizontal="right" vertical="center"/>
    </xf>
    <xf numFmtId="3" fontId="2" fillId="20" borderId="11" xfId="0" applyNumberFormat="1" applyFont="1" applyFill="1" applyBorder="1" applyAlignment="1">
      <alignment horizontal="right" vertical="center"/>
    </xf>
    <xf numFmtId="0" fontId="2" fillId="20" borderId="11" xfId="0" applyFont="1" applyFill="1" applyBorder="1" applyAlignment="1">
      <alignment horizontal="center" vertical="center"/>
    </xf>
    <xf numFmtId="3" fontId="2" fillId="20" borderId="28" xfId="0" applyNumberFormat="1" applyFont="1" applyFill="1" applyBorder="1" applyAlignment="1">
      <alignment horizontal="right" vertical="center"/>
    </xf>
    <xf numFmtId="3" fontId="2" fillId="20" borderId="29" xfId="0" applyNumberFormat="1" applyFont="1" applyFill="1" applyBorder="1" applyAlignment="1">
      <alignment horizontal="right" vertical="center"/>
    </xf>
    <xf numFmtId="3" fontId="0" fillId="24" borderId="35" xfId="0" applyNumberFormat="1" applyFill="1" applyBorder="1" applyAlignment="1" applyProtection="1">
      <alignment horizontal="right" vertical="center"/>
      <protection locked="0"/>
    </xf>
    <xf numFmtId="3" fontId="0" fillId="24" borderId="23" xfId="0" applyNumberFormat="1" applyFill="1" applyBorder="1" applyAlignment="1" applyProtection="1">
      <alignment horizontal="right"/>
      <protection locked="0"/>
    </xf>
    <xf numFmtId="0" fontId="0" fillId="20" borderId="36" xfId="0" applyFill="1" applyBorder="1" applyAlignment="1">
      <alignment horizontal="center" vertical="center"/>
    </xf>
    <xf numFmtId="0" fontId="0" fillId="20" borderId="11" xfId="0" applyFill="1" applyBorder="1" applyAlignment="1">
      <alignment vertical="center" wrapText="1"/>
    </xf>
    <xf numFmtId="0" fontId="0" fillId="2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164" fontId="2" fillId="20" borderId="21" xfId="0" applyNumberFormat="1" applyFont="1" applyFill="1" applyBorder="1" applyAlignment="1" applyProtection="1">
      <alignment horizontal="center" vertical="center"/>
      <protection/>
    </xf>
    <xf numFmtId="164" fontId="0" fillId="20" borderId="10" xfId="0" applyNumberFormat="1" applyFill="1" applyBorder="1" applyAlignment="1" applyProtection="1">
      <alignment horizontal="center" vertical="center"/>
      <protection/>
    </xf>
    <xf numFmtId="164" fontId="0" fillId="20" borderId="10" xfId="0" applyNumberFormat="1" applyFont="1" applyFill="1" applyBorder="1" applyAlignment="1" applyProtection="1">
      <alignment horizontal="center" vertical="center"/>
      <protection/>
    </xf>
    <xf numFmtId="164" fontId="0" fillId="20" borderId="21" xfId="0" applyNumberFormat="1" applyFont="1" applyFill="1" applyBorder="1" applyAlignment="1" applyProtection="1">
      <alignment horizontal="center" vertical="center"/>
      <protection/>
    </xf>
    <xf numFmtId="0" fontId="2" fillId="20" borderId="37" xfId="0" applyFont="1" applyFill="1" applyBorder="1" applyAlignment="1">
      <alignment horizontal="center" vertical="center" wrapText="1"/>
    </xf>
    <xf numFmtId="0" fontId="0" fillId="20" borderId="38" xfId="0" applyFill="1" applyBorder="1" applyAlignment="1">
      <alignment/>
    </xf>
    <xf numFmtId="164" fontId="0" fillId="20" borderId="11" xfId="0" applyNumberFormat="1" applyFill="1" applyBorder="1" applyAlignment="1">
      <alignment vertical="center"/>
    </xf>
    <xf numFmtId="164" fontId="0" fillId="20" borderId="29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4" fontId="0" fillId="20" borderId="10" xfId="0" applyNumberFormat="1" applyFill="1" applyBorder="1" applyAlignment="1" applyProtection="1">
      <alignment horizontal="center" vertical="center" wrapText="1"/>
      <protection/>
    </xf>
    <xf numFmtId="4" fontId="4" fillId="20" borderId="17" xfId="0" applyNumberFormat="1" applyFont="1" applyFill="1" applyBorder="1" applyAlignment="1" applyProtection="1">
      <alignment vertical="center" wrapText="1"/>
      <protection/>
    </xf>
    <xf numFmtId="4" fontId="4" fillId="20" borderId="11" xfId="0" applyNumberFormat="1" applyFont="1" applyFill="1" applyBorder="1" applyAlignment="1" applyProtection="1">
      <alignment vertical="center" wrapText="1"/>
      <protection/>
    </xf>
    <xf numFmtId="4" fontId="4" fillId="20" borderId="3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3" fillId="25" borderId="4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 applyProtection="1">
      <alignment horizontal="center" vertical="center"/>
      <protection locked="0"/>
    </xf>
    <xf numFmtId="3" fontId="0" fillId="20" borderId="35" xfId="0" applyNumberFormat="1" applyFill="1" applyBorder="1" applyAlignment="1">
      <alignment horizontal="center" vertical="center"/>
    </xf>
    <xf numFmtId="3" fontId="4" fillId="20" borderId="41" xfId="0" applyNumberFormat="1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16" xfId="0" applyNumberFormat="1" applyFont="1" applyFill="1" applyBorder="1" applyAlignment="1">
      <alignment horizontal="center" vertical="center"/>
    </xf>
    <xf numFmtId="3" fontId="2" fillId="20" borderId="24" xfId="0" applyNumberFormat="1" applyFont="1" applyFill="1" applyBorder="1" applyAlignment="1">
      <alignment horizontal="center" vertical="center"/>
    </xf>
    <xf numFmtId="0" fontId="0" fillId="20" borderId="42" xfId="0" applyFill="1" applyBorder="1" applyAlignment="1">
      <alignment/>
    </xf>
    <xf numFmtId="0" fontId="0" fillId="24" borderId="42" xfId="0" applyFill="1" applyBorder="1" applyAlignment="1">
      <alignment/>
    </xf>
    <xf numFmtId="3" fontId="0" fillId="20" borderId="43" xfId="0" applyNumberFormat="1" applyFill="1" applyBorder="1" applyAlignment="1">
      <alignment horizontal="center" vertical="center"/>
    </xf>
    <xf numFmtId="3" fontId="0" fillId="24" borderId="44" xfId="0" applyNumberFormat="1" applyFill="1" applyBorder="1" applyAlignment="1">
      <alignment horizontal="center" vertical="center"/>
    </xf>
    <xf numFmtId="0" fontId="3" fillId="20" borderId="32" xfId="0" applyFont="1" applyFill="1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0" xfId="0" applyAlignment="1">
      <alignment vertical="center"/>
    </xf>
    <xf numFmtId="0" fontId="0" fillId="20" borderId="0" xfId="0" applyFill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4" fontId="0" fillId="20" borderId="21" xfId="0" applyNumberFormat="1" applyFill="1" applyBorder="1" applyAlignment="1" applyProtection="1">
      <alignment horizontal="center" vertical="center" wrapText="1"/>
      <protection/>
    </xf>
    <xf numFmtId="4" fontId="0" fillId="20" borderId="10" xfId="0" applyNumberFormat="1" applyFont="1" applyFill="1" applyBorder="1" applyAlignment="1" applyProtection="1">
      <alignment horizontal="left" vertical="center" wrapText="1"/>
      <protection/>
    </xf>
    <xf numFmtId="4" fontId="2" fillId="20" borderId="21" xfId="0" applyNumberFormat="1" applyFont="1" applyFill="1" applyBorder="1" applyAlignment="1" applyProtection="1">
      <alignment horizontal="center" vertical="center" wrapText="1"/>
      <protection/>
    </xf>
    <xf numFmtId="4" fontId="2" fillId="20" borderId="31" xfId="0" applyNumberFormat="1" applyFont="1" applyFill="1" applyBorder="1" applyAlignment="1" applyProtection="1">
      <alignment horizontal="center" vertical="center" wrapText="1"/>
      <protection/>
    </xf>
    <xf numFmtId="4" fontId="2" fillId="20" borderId="32" xfId="0" applyNumberFormat="1" applyFont="1" applyFill="1" applyBorder="1" applyAlignment="1" applyProtection="1">
      <alignment horizontal="center" vertical="center" wrapText="1"/>
      <protection/>
    </xf>
    <xf numFmtId="4" fontId="0" fillId="20" borderId="21" xfId="0" applyNumberFormat="1" applyFont="1" applyFill="1" applyBorder="1" applyAlignment="1" applyProtection="1">
      <alignment horizontal="left" vertical="center" wrapText="1"/>
      <protection/>
    </xf>
    <xf numFmtId="4" fontId="2" fillId="20" borderId="21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46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38" xfId="0" applyNumberFormat="1" applyFont="1" applyFill="1" applyBorder="1" applyAlignment="1" applyProtection="1">
      <alignment horizontal="center" vertical="center" textRotation="90" wrapText="1"/>
      <protection/>
    </xf>
    <xf numFmtId="3" fontId="0" fillId="20" borderId="21" xfId="0" applyNumberFormat="1" applyFill="1" applyBorder="1" applyAlignment="1" applyProtection="1">
      <alignment horizontal="center" vertical="center"/>
      <protection/>
    </xf>
    <xf numFmtId="3" fontId="0" fillId="20" borderId="46" xfId="0" applyNumberFormat="1" applyFill="1" applyBorder="1" applyAlignment="1" applyProtection="1">
      <alignment horizontal="center" vertical="center"/>
      <protection/>
    </xf>
    <xf numFmtId="3" fontId="0" fillId="20" borderId="22" xfId="0" applyNumberFormat="1" applyFill="1" applyBorder="1" applyAlignment="1" applyProtection="1">
      <alignment horizontal="center" vertical="center"/>
      <protection/>
    </xf>
    <xf numFmtId="4" fontId="4" fillId="20" borderId="13" xfId="0" applyNumberFormat="1" applyFont="1" applyFill="1" applyBorder="1" applyAlignment="1" applyProtection="1">
      <alignment horizontal="center" vertical="center"/>
      <protection/>
    </xf>
    <xf numFmtId="4" fontId="4" fillId="20" borderId="47" xfId="0" applyNumberFormat="1" applyFont="1" applyFill="1" applyBorder="1" applyAlignment="1" applyProtection="1">
      <alignment horizontal="center" vertical="center"/>
      <protection/>
    </xf>
    <xf numFmtId="4" fontId="0" fillId="20" borderId="22" xfId="0" applyNumberFormat="1" applyFill="1" applyBorder="1" applyAlignment="1" applyProtection="1">
      <alignment horizontal="left" vertical="center" wrapText="1"/>
      <protection/>
    </xf>
    <xf numFmtId="4" fontId="2" fillId="20" borderId="20" xfId="0" applyNumberFormat="1" applyFont="1" applyFill="1" applyBorder="1" applyAlignment="1" applyProtection="1">
      <alignment horizontal="center" vertical="center"/>
      <protection/>
    </xf>
    <xf numFmtId="4" fontId="2" fillId="20" borderId="19" xfId="0" applyNumberFormat="1" applyFont="1" applyFill="1" applyBorder="1" applyAlignment="1" applyProtection="1">
      <alignment horizontal="center" vertical="center"/>
      <protection/>
    </xf>
    <xf numFmtId="4" fontId="2" fillId="20" borderId="36" xfId="0" applyNumberFormat="1" applyFont="1" applyFill="1" applyBorder="1" applyAlignment="1" applyProtection="1">
      <alignment horizontal="center" vertical="center"/>
      <protection/>
    </xf>
    <xf numFmtId="4" fontId="2" fillId="2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3" fontId="0" fillId="24" borderId="21" xfId="0" applyNumberFormat="1" applyFill="1" applyBorder="1" applyAlignment="1" applyProtection="1">
      <alignment horizontal="center" vertical="center"/>
      <protection locked="0"/>
    </xf>
    <xf numFmtId="3" fontId="0" fillId="24" borderId="46" xfId="0" applyNumberFormat="1" applyFill="1" applyBorder="1" applyAlignment="1" applyProtection="1">
      <alignment horizontal="center" vertical="center"/>
      <protection locked="0"/>
    </xf>
    <xf numFmtId="3" fontId="0" fillId="24" borderId="22" xfId="0" applyNumberForma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vertical="center" wrapText="1"/>
      <protection/>
    </xf>
    <xf numFmtId="0" fontId="0" fillId="0" borderId="0" xfId="0" applyAlignment="1">
      <alignment vertical="center"/>
    </xf>
    <xf numFmtId="4" fontId="0" fillId="20" borderId="21" xfId="0" applyNumberFormat="1" applyFill="1" applyBorder="1" applyAlignment="1" applyProtection="1">
      <alignment horizontal="center" vertical="center" textRotation="90"/>
      <protection/>
    </xf>
    <xf numFmtId="4" fontId="0" fillId="20" borderId="46" xfId="0" applyNumberFormat="1" applyFill="1" applyBorder="1" applyAlignment="1" applyProtection="1">
      <alignment horizontal="center" vertical="center" textRotation="90"/>
      <protection/>
    </xf>
    <xf numFmtId="4" fontId="0" fillId="20" borderId="22" xfId="0" applyNumberFormat="1" applyFill="1" applyBorder="1" applyAlignment="1" applyProtection="1">
      <alignment horizontal="center" vertical="center" textRotation="90"/>
      <protection/>
    </xf>
    <xf numFmtId="4" fontId="2" fillId="20" borderId="17" xfId="0" applyNumberFormat="1" applyFont="1" applyFill="1" applyBorder="1" applyAlignment="1" applyProtection="1">
      <alignment horizontal="center" vertical="center" wrapText="1"/>
      <protection/>
    </xf>
    <xf numFmtId="0" fontId="0" fillId="20" borderId="28" xfId="0" applyFill="1" applyBorder="1" applyAlignment="1" applyProtection="1">
      <alignment horizontal="left" vertical="center" wrapText="1"/>
      <protection/>
    </xf>
    <xf numFmtId="0" fontId="0" fillId="20" borderId="48" xfId="0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46" xfId="0" applyNumberFormat="1" applyFill="1" applyBorder="1" applyAlignment="1" applyProtection="1">
      <alignment horizontal="center" vertical="center" wrapText="1"/>
      <protection/>
    </xf>
    <xf numFmtId="4" fontId="0" fillId="20" borderId="22" xfId="0" applyNumberFormat="1" applyFill="1" applyBorder="1" applyAlignment="1" applyProtection="1">
      <alignment horizontal="center" vertical="center" wrapText="1"/>
      <protection/>
    </xf>
    <xf numFmtId="4" fontId="0" fillId="20" borderId="10" xfId="0" applyNumberFormat="1" applyFill="1" applyBorder="1" applyAlignment="1" applyProtection="1">
      <alignment horizontal="left" vertical="center" wrapText="1"/>
      <protection/>
    </xf>
    <xf numFmtId="0" fontId="2" fillId="20" borderId="49" xfId="0" applyFont="1" applyFill="1" applyBorder="1" applyAlignment="1" applyProtection="1">
      <alignment horizontal="center" vertical="center"/>
      <protection/>
    </xf>
    <xf numFmtId="0" fontId="2" fillId="20" borderId="50" xfId="0" applyFont="1" applyFill="1" applyBorder="1" applyAlignment="1" applyProtection="1">
      <alignment horizontal="center" vertical="center"/>
      <protection/>
    </xf>
    <xf numFmtId="4" fontId="2" fillId="20" borderId="44" xfId="0" applyNumberFormat="1" applyFont="1" applyFill="1" applyBorder="1" applyAlignment="1" applyProtection="1">
      <alignment horizontal="center" vertical="center"/>
      <protection/>
    </xf>
    <xf numFmtId="4" fontId="2" fillId="20" borderId="51" xfId="0" applyNumberFormat="1" applyFont="1" applyFill="1" applyBorder="1" applyAlignment="1" applyProtection="1">
      <alignment horizontal="center" vertical="center"/>
      <protection/>
    </xf>
    <xf numFmtId="4" fontId="0" fillId="20" borderId="31" xfId="0" applyNumberFormat="1" applyFill="1" applyBorder="1" applyAlignment="1" applyProtection="1">
      <alignment horizontal="center" vertical="center" textRotation="90"/>
      <protection/>
    </xf>
    <xf numFmtId="4" fontId="0" fillId="20" borderId="44" xfId="0" applyNumberFormat="1" applyFill="1" applyBorder="1" applyAlignment="1" applyProtection="1">
      <alignment horizontal="center" vertical="center" textRotation="90"/>
      <protection/>
    </xf>
    <xf numFmtId="4" fontId="0" fillId="20" borderId="35" xfId="0" applyNumberFormat="1" applyFill="1" applyBorder="1" applyAlignment="1" applyProtection="1">
      <alignment horizontal="center" vertical="center" textRotation="90"/>
      <protection/>
    </xf>
    <xf numFmtId="0" fontId="2" fillId="20" borderId="0" xfId="0" applyFont="1" applyFill="1" applyAlignment="1">
      <alignment horizontal="center" wrapText="1"/>
    </xf>
    <xf numFmtId="0" fontId="2" fillId="20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" fillId="20" borderId="54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4" fillId="20" borderId="55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2" fillId="20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20" borderId="57" xfId="0" applyFont="1" applyFill="1" applyBorder="1" applyAlignment="1">
      <alignment horizontal="center" vertical="center"/>
    </xf>
    <xf numFmtId="0" fontId="0" fillId="0" borderId="58" xfId="0" applyBorder="1" applyAlignment="1">
      <alignment/>
    </xf>
    <xf numFmtId="0" fontId="2" fillId="20" borderId="16" xfId="0" applyFont="1" applyFill="1" applyBorder="1" applyAlignment="1">
      <alignment horizontal="center" vertical="center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60" xfId="0" applyFont="1" applyFill="1" applyBorder="1" applyAlignment="1">
      <alignment horizontal="center" vertical="center" wrapText="1"/>
    </xf>
    <xf numFmtId="0" fontId="0" fillId="20" borderId="61" xfId="0" applyFill="1" applyBorder="1" applyAlignment="1">
      <alignment horizontal="center" vertical="center" wrapText="1"/>
    </xf>
    <xf numFmtId="0" fontId="0" fillId="20" borderId="62" xfId="0" applyFill="1" applyBorder="1" applyAlignment="1">
      <alignment horizontal="center" vertical="center" wrapText="1"/>
    </xf>
    <xf numFmtId="0" fontId="2" fillId="20" borderId="54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/>
    </xf>
    <xf numFmtId="0" fontId="2" fillId="20" borderId="48" xfId="0" applyFont="1" applyFill="1" applyBorder="1" applyAlignment="1">
      <alignment horizontal="center" vertical="center"/>
    </xf>
    <xf numFmtId="0" fontId="0" fillId="20" borderId="0" xfId="0" applyFill="1" applyAlignment="1">
      <alignment horizontal="right"/>
    </xf>
    <xf numFmtId="0" fontId="2" fillId="20" borderId="52" xfId="0" applyFont="1" applyFill="1" applyBorder="1" applyAlignment="1">
      <alignment horizontal="center" vertical="center"/>
    </xf>
    <xf numFmtId="0" fontId="2" fillId="20" borderId="53" xfId="0" applyFont="1" applyFill="1" applyBorder="1" applyAlignment="1">
      <alignment horizontal="center" vertical="center"/>
    </xf>
    <xf numFmtId="0" fontId="2" fillId="20" borderId="54" xfId="0" applyFont="1" applyFill="1" applyBorder="1" applyAlignment="1">
      <alignment horizontal="center" vertical="center"/>
    </xf>
    <xf numFmtId="0" fontId="2" fillId="20" borderId="38" xfId="0" applyFont="1" applyFill="1" applyBorder="1" applyAlignment="1">
      <alignment horizontal="center" vertical="center"/>
    </xf>
    <xf numFmtId="0" fontId="2" fillId="20" borderId="54" xfId="0" applyFont="1" applyFill="1" applyBorder="1" applyAlignment="1">
      <alignment horizontal="center" vertical="center" wrapText="1"/>
    </xf>
    <xf numFmtId="0" fontId="2" fillId="20" borderId="38" xfId="0" applyFont="1" applyFill="1" applyBorder="1" applyAlignment="1">
      <alignment horizontal="center" vertical="center" wrapText="1"/>
    </xf>
    <xf numFmtId="0" fontId="0" fillId="24" borderId="38" xfId="0" applyFill="1" applyBorder="1" applyAlignment="1">
      <alignment/>
    </xf>
    <xf numFmtId="0" fontId="2" fillId="20" borderId="30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2" fillId="20" borderId="67" xfId="0" applyFont="1" applyFill="1" applyBorder="1" applyAlignment="1">
      <alignment horizontal="center" vertical="center" wrapText="1"/>
    </xf>
    <xf numFmtId="49" fontId="2" fillId="20" borderId="30" xfId="0" applyNumberFormat="1" applyFont="1" applyFill="1" applyBorder="1" applyAlignment="1">
      <alignment horizontal="left" vertical="center" wrapText="1"/>
    </xf>
    <xf numFmtId="49" fontId="2" fillId="20" borderId="63" xfId="0" applyNumberFormat="1" applyFont="1" applyFill="1" applyBorder="1" applyAlignment="1">
      <alignment horizontal="left" vertical="center" wrapText="1"/>
    </xf>
    <xf numFmtId="49" fontId="2" fillId="20" borderId="6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9"/>
  <sheetViews>
    <sheetView view="pageBreakPreview" zoomScale="60" zoomScalePageLayoutView="0" workbookViewId="0" topLeftCell="F1">
      <selection activeCell="N3" sqref="N3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6" width="13.625" style="0" bestFit="1" customWidth="1"/>
    <col min="7" max="7" width="16.25390625" style="0" customWidth="1"/>
    <col min="8" max="9" width="13.625" style="0" bestFit="1" customWidth="1"/>
    <col min="10" max="10" width="15.625" style="0" bestFit="1" customWidth="1"/>
    <col min="11" max="11" width="13.625" style="0" bestFit="1" customWidth="1"/>
    <col min="12" max="12" width="17.125" style="0" bestFit="1" customWidth="1"/>
    <col min="13" max="24" width="11.75390625" style="0" customWidth="1"/>
  </cols>
  <sheetData>
    <row r="1" spans="1:22" ht="51" customHeight="1">
      <c r="A1" s="19"/>
      <c r="B1" s="20"/>
      <c r="C1" s="21"/>
      <c r="D1" s="20"/>
      <c r="E1" s="20"/>
      <c r="F1" s="20"/>
      <c r="G1" s="20"/>
      <c r="H1" s="20"/>
      <c r="I1" s="20"/>
      <c r="J1" s="173" t="s">
        <v>125</v>
      </c>
      <c r="K1" s="174"/>
      <c r="L1" s="20"/>
      <c r="M1" s="113"/>
      <c r="N1" s="114"/>
      <c r="O1" s="114"/>
      <c r="P1" s="114"/>
      <c r="Q1" s="114"/>
      <c r="R1" s="114"/>
      <c r="S1" s="114"/>
      <c r="T1" s="114"/>
      <c r="U1" s="114"/>
      <c r="V1" s="114"/>
    </row>
    <row r="2" spans="1:22" ht="15.75">
      <c r="A2" s="19"/>
      <c r="B2" s="20"/>
      <c r="C2" s="21"/>
      <c r="D2" s="20"/>
      <c r="E2" s="40" t="s">
        <v>124</v>
      </c>
      <c r="F2" s="20"/>
      <c r="G2" s="20"/>
      <c r="H2" s="20"/>
      <c r="I2" s="20"/>
      <c r="J2" s="20"/>
      <c r="K2" s="20"/>
      <c r="L2" s="20"/>
      <c r="M2" s="113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2.75">
      <c r="A3" s="19"/>
      <c r="B3" s="20"/>
      <c r="C3" s="21"/>
      <c r="D3" s="20"/>
      <c r="E3" s="20"/>
      <c r="F3" s="20" t="s">
        <v>101</v>
      </c>
      <c r="G3" s="20"/>
      <c r="H3" s="20"/>
      <c r="I3" s="20"/>
      <c r="J3" s="20"/>
      <c r="K3" s="20"/>
      <c r="L3" s="20"/>
      <c r="M3" s="113"/>
      <c r="N3" s="114"/>
      <c r="O3" s="114"/>
      <c r="P3" s="114"/>
      <c r="Q3" s="114"/>
      <c r="R3" s="114"/>
      <c r="S3" s="114"/>
      <c r="T3" s="114"/>
      <c r="U3" s="114"/>
      <c r="V3" s="114"/>
    </row>
    <row r="4" spans="1:22" ht="13.5" thickBot="1">
      <c r="A4" s="19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113"/>
      <c r="N4" s="114"/>
      <c r="O4" s="114"/>
      <c r="P4" s="114"/>
      <c r="Q4" s="114"/>
      <c r="R4" s="114"/>
      <c r="S4" s="114"/>
      <c r="T4" s="114"/>
      <c r="U4" s="114"/>
      <c r="V4" s="114"/>
    </row>
    <row r="5" spans="1:24" ht="24.75" customHeight="1" thickBot="1">
      <c r="A5" s="22" t="s">
        <v>0</v>
      </c>
      <c r="B5" s="185" t="s">
        <v>1</v>
      </c>
      <c r="C5" s="186"/>
      <c r="D5" s="16" t="s">
        <v>100</v>
      </c>
      <c r="E5" s="16">
        <v>2011</v>
      </c>
      <c r="F5" s="16">
        <v>2012</v>
      </c>
      <c r="G5" s="16">
        <v>2013</v>
      </c>
      <c r="H5" s="16">
        <v>2014</v>
      </c>
      <c r="I5" s="16">
        <v>2015</v>
      </c>
      <c r="J5" s="16">
        <v>2016</v>
      </c>
      <c r="K5" s="16">
        <v>2017</v>
      </c>
      <c r="L5" s="16">
        <v>2018</v>
      </c>
      <c r="M5" s="16">
        <v>2019</v>
      </c>
      <c r="N5" s="16">
        <v>2020</v>
      </c>
      <c r="O5" s="16">
        <v>2021</v>
      </c>
      <c r="P5" s="16">
        <v>2022</v>
      </c>
      <c r="Q5" s="16">
        <v>2023</v>
      </c>
      <c r="R5" s="16">
        <v>2024</v>
      </c>
      <c r="S5" s="16">
        <v>2025</v>
      </c>
      <c r="T5" s="16">
        <v>2026</v>
      </c>
      <c r="U5" s="16">
        <v>2027</v>
      </c>
      <c r="V5" s="16">
        <v>2028</v>
      </c>
      <c r="W5" s="16">
        <v>2029</v>
      </c>
      <c r="X5" s="16">
        <v>2030</v>
      </c>
    </row>
    <row r="6" spans="1:24" ht="12.75">
      <c r="A6" s="23" t="s">
        <v>21</v>
      </c>
      <c r="B6" s="187" t="s">
        <v>2</v>
      </c>
      <c r="C6" s="188"/>
      <c r="D6" s="44">
        <f aca="true" t="shared" si="0" ref="D6:L6">D7+D8</f>
        <v>92857531</v>
      </c>
      <c r="E6" s="44">
        <f t="shared" si="0"/>
        <v>102241748.63</v>
      </c>
      <c r="F6" s="44">
        <f t="shared" si="0"/>
        <v>98154805.02</v>
      </c>
      <c r="G6" s="44">
        <f t="shared" si="0"/>
        <v>96723645.74</v>
      </c>
      <c r="H6" s="44">
        <f t="shared" si="0"/>
        <v>96723646</v>
      </c>
      <c r="I6" s="44">
        <f t="shared" si="0"/>
        <v>96723646</v>
      </c>
      <c r="J6" s="44">
        <f t="shared" si="0"/>
        <v>96723646</v>
      </c>
      <c r="K6" s="44">
        <f t="shared" si="0"/>
        <v>96723646</v>
      </c>
      <c r="L6" s="44">
        <f t="shared" si="0"/>
        <v>96723646</v>
      </c>
      <c r="M6" s="44">
        <f aca="true" t="shared" si="1" ref="M6:X6">M7+M8</f>
        <v>96723646</v>
      </c>
      <c r="N6" s="44">
        <f t="shared" si="1"/>
        <v>96723646</v>
      </c>
      <c r="O6" s="44">
        <f t="shared" si="1"/>
        <v>96723646</v>
      </c>
      <c r="P6" s="44">
        <f t="shared" si="1"/>
        <v>96723646</v>
      </c>
      <c r="Q6" s="44">
        <f t="shared" si="1"/>
        <v>96723646</v>
      </c>
      <c r="R6" s="44">
        <f t="shared" si="1"/>
        <v>96723646</v>
      </c>
      <c r="S6" s="44">
        <f t="shared" si="1"/>
        <v>96723646</v>
      </c>
      <c r="T6" s="44">
        <f t="shared" si="1"/>
        <v>96723646</v>
      </c>
      <c r="U6" s="44">
        <f t="shared" si="1"/>
        <v>96723646</v>
      </c>
      <c r="V6" s="44">
        <f t="shared" si="1"/>
        <v>96723646</v>
      </c>
      <c r="W6" s="44">
        <f t="shared" si="1"/>
        <v>96723646</v>
      </c>
      <c r="X6" s="44">
        <f t="shared" si="1"/>
        <v>96723646</v>
      </c>
    </row>
    <row r="7" spans="1:24" ht="12.75" customHeight="1">
      <c r="A7" s="24" t="s">
        <v>22</v>
      </c>
      <c r="B7" s="25"/>
      <c r="C7" s="26" t="s">
        <v>3</v>
      </c>
      <c r="D7" s="45">
        <v>82647939</v>
      </c>
      <c r="E7" s="45">
        <v>84650121</v>
      </c>
      <c r="F7" s="45">
        <v>88523748.52</v>
      </c>
      <c r="G7" s="45">
        <v>87523748.52</v>
      </c>
      <c r="H7" s="45">
        <v>87523749</v>
      </c>
      <c r="I7" s="45">
        <v>87523749</v>
      </c>
      <c r="J7" s="45">
        <v>87523749</v>
      </c>
      <c r="K7" s="45">
        <v>87523749</v>
      </c>
      <c r="L7" s="45">
        <v>87523749</v>
      </c>
      <c r="M7" s="45">
        <v>87523749</v>
      </c>
      <c r="N7" s="45">
        <v>87523749</v>
      </c>
      <c r="O7" s="45">
        <v>87523749</v>
      </c>
      <c r="P7" s="45">
        <v>87523749</v>
      </c>
      <c r="Q7" s="45">
        <v>87523749</v>
      </c>
      <c r="R7" s="45">
        <v>87523749</v>
      </c>
      <c r="S7" s="45">
        <v>87523749</v>
      </c>
      <c r="T7" s="45">
        <v>87523749</v>
      </c>
      <c r="U7" s="45">
        <v>87523749</v>
      </c>
      <c r="V7" s="45">
        <v>87523749</v>
      </c>
      <c r="W7" s="45">
        <v>87523749</v>
      </c>
      <c r="X7" s="45">
        <v>87523749</v>
      </c>
    </row>
    <row r="8" spans="1:24" ht="12.75">
      <c r="A8" s="24" t="s">
        <v>23</v>
      </c>
      <c r="B8" s="25"/>
      <c r="C8" s="26" t="s">
        <v>4</v>
      </c>
      <c r="D8" s="45">
        <v>10209592</v>
      </c>
      <c r="E8" s="45">
        <v>17591627.63</v>
      </c>
      <c r="F8" s="46">
        <v>9631056.5</v>
      </c>
      <c r="G8" s="46">
        <v>9199897.22</v>
      </c>
      <c r="H8" s="46">
        <v>9199897</v>
      </c>
      <c r="I8" s="46">
        <v>9199897</v>
      </c>
      <c r="J8" s="46">
        <v>9199897</v>
      </c>
      <c r="K8" s="46">
        <v>9199897</v>
      </c>
      <c r="L8" s="46">
        <v>9199897</v>
      </c>
      <c r="M8" s="46">
        <v>9199897</v>
      </c>
      <c r="N8" s="46">
        <v>9199897</v>
      </c>
      <c r="O8" s="46">
        <v>9199897</v>
      </c>
      <c r="P8" s="46">
        <v>9199897</v>
      </c>
      <c r="Q8" s="46">
        <v>9199897</v>
      </c>
      <c r="R8" s="46">
        <v>9199897</v>
      </c>
      <c r="S8" s="46">
        <v>9199897</v>
      </c>
      <c r="T8" s="46">
        <v>9199897</v>
      </c>
      <c r="U8" s="46">
        <v>9199897</v>
      </c>
      <c r="V8" s="46">
        <v>9199897</v>
      </c>
      <c r="W8" s="46">
        <v>9199897</v>
      </c>
      <c r="X8" s="46">
        <v>9199897</v>
      </c>
    </row>
    <row r="9" spans="1:24" ht="12.75">
      <c r="A9" s="27"/>
      <c r="B9" s="28" t="s">
        <v>29</v>
      </c>
      <c r="C9" s="29" t="s">
        <v>47</v>
      </c>
      <c r="D9" s="46">
        <v>5718232</v>
      </c>
      <c r="E9" s="46">
        <v>6910678</v>
      </c>
      <c r="F9" s="46">
        <v>5972000</v>
      </c>
      <c r="G9" s="46">
        <v>6482000</v>
      </c>
      <c r="H9" s="46">
        <v>6482000</v>
      </c>
      <c r="I9" s="46">
        <v>6482000</v>
      </c>
      <c r="J9" s="46">
        <v>6482000</v>
      </c>
      <c r="K9" s="46">
        <v>6482000</v>
      </c>
      <c r="L9" s="46">
        <v>6482000</v>
      </c>
      <c r="M9" s="46">
        <v>6482000</v>
      </c>
      <c r="N9" s="46">
        <v>6482000</v>
      </c>
      <c r="O9" s="46">
        <v>6482000</v>
      </c>
      <c r="P9" s="46">
        <v>6482000</v>
      </c>
      <c r="Q9" s="46">
        <v>6482000</v>
      </c>
      <c r="R9" s="46">
        <v>6482000</v>
      </c>
      <c r="S9" s="46">
        <v>6482000</v>
      </c>
      <c r="T9" s="46">
        <v>6482000</v>
      </c>
      <c r="U9" s="46">
        <v>6482000</v>
      </c>
      <c r="V9" s="46">
        <v>6482000</v>
      </c>
      <c r="W9" s="46">
        <v>6482000</v>
      </c>
      <c r="X9" s="46">
        <v>6482000</v>
      </c>
    </row>
    <row r="10" spans="1:24" ht="12.75">
      <c r="A10" s="30" t="s">
        <v>24</v>
      </c>
      <c r="B10" s="168" t="s">
        <v>5</v>
      </c>
      <c r="C10" s="178"/>
      <c r="D10" s="47">
        <f aca="true" t="shared" si="2" ref="D10:L10">D11+D19</f>
        <v>100320401</v>
      </c>
      <c r="E10" s="47">
        <f t="shared" si="2"/>
        <v>110020357</v>
      </c>
      <c r="F10" s="47">
        <f t="shared" si="2"/>
        <v>98154805</v>
      </c>
      <c r="G10" s="47">
        <f t="shared" si="2"/>
        <v>96723646</v>
      </c>
      <c r="H10" s="47">
        <f t="shared" si="2"/>
        <v>96723646</v>
      </c>
      <c r="I10" s="47">
        <f t="shared" si="2"/>
        <v>96723646</v>
      </c>
      <c r="J10" s="47">
        <f t="shared" si="2"/>
        <v>96723646</v>
      </c>
      <c r="K10" s="47">
        <f t="shared" si="2"/>
        <v>96723646</v>
      </c>
      <c r="L10" s="47">
        <f t="shared" si="2"/>
        <v>96723646</v>
      </c>
      <c r="M10" s="47">
        <f aca="true" t="shared" si="3" ref="M10:X10">M11+M19</f>
        <v>96723646</v>
      </c>
      <c r="N10" s="47">
        <f t="shared" si="3"/>
        <v>96723646</v>
      </c>
      <c r="O10" s="47">
        <f t="shared" si="3"/>
        <v>96723646</v>
      </c>
      <c r="P10" s="47">
        <f t="shared" si="3"/>
        <v>96723646</v>
      </c>
      <c r="Q10" s="47">
        <f t="shared" si="3"/>
        <v>96723646</v>
      </c>
      <c r="R10" s="47">
        <f t="shared" si="3"/>
        <v>96723646</v>
      </c>
      <c r="S10" s="47">
        <f t="shared" si="3"/>
        <v>96723646</v>
      </c>
      <c r="T10" s="47">
        <f t="shared" si="3"/>
        <v>96723646</v>
      </c>
      <c r="U10" s="47">
        <f t="shared" si="3"/>
        <v>96723646</v>
      </c>
      <c r="V10" s="47">
        <f t="shared" si="3"/>
        <v>96723646</v>
      </c>
      <c r="W10" s="47">
        <f t="shared" si="3"/>
        <v>96723646</v>
      </c>
      <c r="X10" s="47">
        <f t="shared" si="3"/>
        <v>96723646</v>
      </c>
    </row>
    <row r="11" spans="1:24" ht="12.75">
      <c r="A11" s="24" t="s">
        <v>22</v>
      </c>
      <c r="B11" s="25"/>
      <c r="C11" s="26" t="s">
        <v>3</v>
      </c>
      <c r="D11" s="45">
        <v>83829932</v>
      </c>
      <c r="E11" s="45">
        <v>88507729</v>
      </c>
      <c r="F11" s="45">
        <v>87500000</v>
      </c>
      <c r="G11" s="45">
        <v>86000000</v>
      </c>
      <c r="H11" s="45">
        <v>87523749</v>
      </c>
      <c r="I11" s="45">
        <v>87523749</v>
      </c>
      <c r="J11" s="45">
        <v>87523749</v>
      </c>
      <c r="K11" s="45">
        <v>87523749</v>
      </c>
      <c r="L11" s="45">
        <v>87523749</v>
      </c>
      <c r="M11" s="45">
        <v>87523749</v>
      </c>
      <c r="N11" s="45">
        <v>87523749</v>
      </c>
      <c r="O11" s="45">
        <v>87523749</v>
      </c>
      <c r="P11" s="45">
        <v>87523749</v>
      </c>
      <c r="Q11" s="45">
        <v>87523749</v>
      </c>
      <c r="R11" s="45">
        <v>87523749</v>
      </c>
      <c r="S11" s="45">
        <v>87523749</v>
      </c>
      <c r="T11" s="45">
        <v>87523749</v>
      </c>
      <c r="U11" s="45">
        <v>87523749</v>
      </c>
      <c r="V11" s="45">
        <v>87523749</v>
      </c>
      <c r="W11" s="45">
        <v>87523749</v>
      </c>
      <c r="X11" s="45">
        <v>87523749</v>
      </c>
    </row>
    <row r="12" spans="1:24" ht="12.75">
      <c r="A12" s="27"/>
      <c r="B12" s="189" t="s">
        <v>29</v>
      </c>
      <c r="C12" s="29" t="s">
        <v>55</v>
      </c>
      <c r="D12" s="46">
        <v>1768669</v>
      </c>
      <c r="E12" s="46">
        <v>1800000</v>
      </c>
      <c r="F12" s="46">
        <v>1812900</v>
      </c>
      <c r="G12" s="46">
        <v>1794900</v>
      </c>
      <c r="H12" s="46">
        <v>1794900</v>
      </c>
      <c r="I12" s="46">
        <v>1794900</v>
      </c>
      <c r="J12" s="46">
        <v>1794900</v>
      </c>
      <c r="K12" s="46">
        <v>1794900</v>
      </c>
      <c r="L12" s="46">
        <v>1794900</v>
      </c>
      <c r="M12" s="46">
        <v>1794900</v>
      </c>
      <c r="N12" s="46">
        <v>1794900</v>
      </c>
      <c r="O12" s="46">
        <v>1794900</v>
      </c>
      <c r="P12" s="46">
        <v>1794900</v>
      </c>
      <c r="Q12" s="46">
        <v>1794900</v>
      </c>
      <c r="R12" s="46">
        <v>1794900</v>
      </c>
      <c r="S12" s="46">
        <v>1794900</v>
      </c>
      <c r="T12" s="46">
        <v>1794900</v>
      </c>
      <c r="U12" s="46">
        <v>1794900</v>
      </c>
      <c r="V12" s="46">
        <v>1794900</v>
      </c>
      <c r="W12" s="46">
        <v>1794900</v>
      </c>
      <c r="X12" s="46">
        <v>1794900</v>
      </c>
    </row>
    <row r="13" spans="1:24" ht="12.75">
      <c r="A13" s="27"/>
      <c r="B13" s="190"/>
      <c r="C13" s="29" t="s">
        <v>106</v>
      </c>
      <c r="D13" s="46">
        <v>0</v>
      </c>
      <c r="E13" s="46">
        <v>658300</v>
      </c>
      <c r="F13" s="46">
        <v>658215</v>
      </c>
      <c r="G13" s="46">
        <v>657802</v>
      </c>
      <c r="H13" s="46">
        <v>594132.7</v>
      </c>
      <c r="I13" s="46">
        <v>70000</v>
      </c>
      <c r="J13" s="46">
        <v>70000</v>
      </c>
      <c r="K13" s="46">
        <v>70000</v>
      </c>
      <c r="L13" s="46">
        <v>70000</v>
      </c>
      <c r="M13" s="46">
        <v>70000</v>
      </c>
      <c r="N13" s="46">
        <v>70000</v>
      </c>
      <c r="O13" s="46">
        <v>70000</v>
      </c>
      <c r="P13" s="46">
        <v>70000</v>
      </c>
      <c r="Q13" s="46">
        <v>70000</v>
      </c>
      <c r="R13" s="46">
        <v>70000</v>
      </c>
      <c r="S13" s="46">
        <v>70000</v>
      </c>
      <c r="T13" s="46">
        <v>70000</v>
      </c>
      <c r="U13" s="46">
        <v>70000</v>
      </c>
      <c r="V13" s="46">
        <v>70000</v>
      </c>
      <c r="W13" s="46">
        <v>69990</v>
      </c>
      <c r="X13" s="46">
        <v>63343</v>
      </c>
    </row>
    <row r="14" spans="1:24" ht="12.75">
      <c r="A14" s="27"/>
      <c r="B14" s="190"/>
      <c r="C14" s="29" t="s">
        <v>48</v>
      </c>
      <c r="D14" s="46">
        <v>37279392</v>
      </c>
      <c r="E14" s="46">
        <v>38767062</v>
      </c>
      <c r="F14" s="46">
        <v>39759484</v>
      </c>
      <c r="G14" s="131">
        <v>40652058</v>
      </c>
      <c r="H14" s="131">
        <v>40652058</v>
      </c>
      <c r="I14" s="131">
        <v>40652058</v>
      </c>
      <c r="J14" s="131">
        <v>40652058</v>
      </c>
      <c r="K14" s="131">
        <v>40652058</v>
      </c>
      <c r="L14" s="131">
        <v>40652058</v>
      </c>
      <c r="M14" s="131">
        <v>40652058</v>
      </c>
      <c r="N14" s="131">
        <v>40652058</v>
      </c>
      <c r="O14" s="131">
        <v>40652058</v>
      </c>
      <c r="P14" s="131">
        <v>40652058</v>
      </c>
      <c r="Q14" s="131">
        <v>40652058</v>
      </c>
      <c r="R14" s="131">
        <v>40652058</v>
      </c>
      <c r="S14" s="131">
        <v>40652058</v>
      </c>
      <c r="T14" s="131">
        <v>40652058</v>
      </c>
      <c r="U14" s="131">
        <v>40652058</v>
      </c>
      <c r="V14" s="131">
        <v>40652058</v>
      </c>
      <c r="W14" s="131">
        <v>40652058</v>
      </c>
      <c r="X14" s="131">
        <v>40652058</v>
      </c>
    </row>
    <row r="15" spans="1:24" ht="25.5">
      <c r="A15" s="27"/>
      <c r="B15" s="190"/>
      <c r="C15" s="29" t="s">
        <v>17</v>
      </c>
      <c r="D15" s="46">
        <v>5961066</v>
      </c>
      <c r="E15" s="116">
        <v>6314799</v>
      </c>
      <c r="F15" s="116">
        <v>6377945</v>
      </c>
      <c r="G15" s="116">
        <v>6441720</v>
      </c>
      <c r="H15" s="116">
        <v>6441720</v>
      </c>
      <c r="I15" s="116">
        <v>6441720</v>
      </c>
      <c r="J15" s="116">
        <v>6441720</v>
      </c>
      <c r="K15" s="116">
        <v>6441720</v>
      </c>
      <c r="L15" s="116">
        <v>6441720</v>
      </c>
      <c r="M15" s="116">
        <v>6441720</v>
      </c>
      <c r="N15" s="116">
        <v>6441720</v>
      </c>
      <c r="O15" s="116">
        <v>6441720</v>
      </c>
      <c r="P15" s="116">
        <v>6441720</v>
      </c>
      <c r="Q15" s="116">
        <v>6441720</v>
      </c>
      <c r="R15" s="116">
        <v>6441720</v>
      </c>
      <c r="S15" s="116">
        <v>6441720</v>
      </c>
      <c r="T15" s="116">
        <v>6441720</v>
      </c>
      <c r="U15" s="116">
        <v>6441720</v>
      </c>
      <c r="V15" s="116">
        <v>6441720</v>
      </c>
      <c r="W15" s="116">
        <v>6441720</v>
      </c>
      <c r="X15" s="116">
        <v>6441720</v>
      </c>
    </row>
    <row r="16" spans="1:24" ht="25.5" customHeight="1">
      <c r="A16" s="27"/>
      <c r="B16" s="190"/>
      <c r="C16" s="150" t="s">
        <v>105</v>
      </c>
      <c r="D16" s="170" t="s">
        <v>45</v>
      </c>
      <c r="E16" s="159">
        <f>Przedsięwzięcia!G5+Przedsięwzięcia!G10+Przedsięwzięcia!G18</f>
        <v>919800</v>
      </c>
      <c r="F16" s="159">
        <f>Przedsięwzięcia!H5+Przedsięwzięcia!H10+Przedsięwzięcia!H18</f>
        <v>927915</v>
      </c>
      <c r="G16" s="159">
        <f>Przedsięwzięcia!I5+Przedsięwzięcia!I10+Przedsięwzięcia!I18</f>
        <v>872804</v>
      </c>
      <c r="H16" s="159">
        <f>Przedsięwzięcia!J5+Przedsięwzięcia!J10+Przedsięwzięcia!J18</f>
        <v>594132.7</v>
      </c>
      <c r="I16" s="159">
        <f>Przedsięwzięcia!K5+Przedsięwzięcia!K10+Przedsięwzięcia!K18</f>
        <v>70000</v>
      </c>
      <c r="J16" s="159">
        <f>Przedsięwzięcia!AA5+Przedsięwzięcia!AA10+Przedsięwzięcia!AA18</f>
        <v>0</v>
      </c>
      <c r="K16" s="159">
        <f>Przedsięwzięcia!AB5+Przedsięwzięcia!AB10+Przedsięwzięcia!AB18</f>
        <v>0</v>
      </c>
      <c r="L16" s="159">
        <f>Przedsięwzięcia!AC5+Przedsięwzięcia!AC10+Przedsięwzięcia!AC18</f>
        <v>0</v>
      </c>
      <c r="M16" s="159">
        <f>Przedsięwzięcia!AD5+Przedsięwzięcia!AD10+Przedsięwzięcia!AD18</f>
        <v>0</v>
      </c>
      <c r="N16" s="159">
        <f>Przedsięwzięcia!AE5+Przedsięwzięcia!AE10+Przedsięwzięcia!AE18</f>
        <v>0</v>
      </c>
      <c r="O16" s="159">
        <f>Przedsięwzięcia!AF5+Przedsięwzięcia!AF10+Przedsięwzięcia!AF18</f>
        <v>0</v>
      </c>
      <c r="P16" s="159">
        <f>Przedsięwzięcia!AG5+Przedsięwzięcia!AG10+Przedsięwzięcia!AG18</f>
        <v>0</v>
      </c>
      <c r="Q16" s="159">
        <f>Przedsięwzięcia!AH5+Przedsięwzięcia!AH10+Przedsięwzięcia!AH18</f>
        <v>0</v>
      </c>
      <c r="R16" s="159">
        <f>Przedsięwzięcia!AI5+Przedsięwzięcia!AI10+Przedsięwzięcia!AI18</f>
        <v>0</v>
      </c>
      <c r="S16" s="159">
        <f>Przedsięwzięcia!AJ5+Przedsięwzięcia!AJ10+Przedsięwzięcia!AJ18</f>
        <v>0</v>
      </c>
      <c r="T16" s="159">
        <f>Przedsięwzięcia!AK5+Przedsięwzięcia!AK10+Przedsięwzięcia!AK18</f>
        <v>0</v>
      </c>
      <c r="U16" s="159">
        <f>Przedsięwzięcia!AL5+Przedsięwzięcia!AL10+Przedsięwzięcia!AL18</f>
        <v>0</v>
      </c>
      <c r="V16" s="159">
        <f>Przedsięwzięcia!AM5+Przedsięwzięcia!AM10+Przedsięwzięcia!AM18</f>
        <v>0</v>
      </c>
      <c r="W16" s="159">
        <f>Przedsięwzięcia!AN5+Przedsięwzięcia!AN10+Przedsięwzięcia!AN18</f>
        <v>0</v>
      </c>
      <c r="X16" s="159">
        <f>Przedsięwzięcia!AO5+Przedsięwzięcia!AO10+Przedsięwzięcia!AO18</f>
        <v>0</v>
      </c>
    </row>
    <row r="17" spans="1:24" ht="25.5" customHeight="1">
      <c r="A17" s="27"/>
      <c r="B17" s="190"/>
      <c r="C17" s="182"/>
      <c r="D17" s="171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</row>
    <row r="18" spans="1:24" ht="25.5" customHeight="1">
      <c r="A18" s="27"/>
      <c r="B18" s="191"/>
      <c r="C18" s="183"/>
      <c r="D18" s="172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ht="12.75">
      <c r="A19" s="24" t="s">
        <v>23</v>
      </c>
      <c r="B19" s="25"/>
      <c r="C19" s="26" t="s">
        <v>4</v>
      </c>
      <c r="D19" s="45">
        <v>16490469</v>
      </c>
      <c r="E19" s="45">
        <v>21512628</v>
      </c>
      <c r="F19" s="45">
        <v>10654805</v>
      </c>
      <c r="G19" s="45">
        <v>10723646</v>
      </c>
      <c r="H19" s="45">
        <v>9199897</v>
      </c>
      <c r="I19" s="45">
        <v>9199897</v>
      </c>
      <c r="J19" s="45">
        <v>9199897</v>
      </c>
      <c r="K19" s="45">
        <v>9199897</v>
      </c>
      <c r="L19" s="45">
        <v>9199897</v>
      </c>
      <c r="M19" s="45">
        <v>9199897</v>
      </c>
      <c r="N19" s="45">
        <v>9199897</v>
      </c>
      <c r="O19" s="45">
        <v>9199897</v>
      </c>
      <c r="P19" s="45">
        <v>9199897</v>
      </c>
      <c r="Q19" s="45">
        <v>9199897</v>
      </c>
      <c r="R19" s="45">
        <v>9199897</v>
      </c>
      <c r="S19" s="45">
        <v>9199897</v>
      </c>
      <c r="T19" s="45">
        <v>9199897</v>
      </c>
      <c r="U19" s="45">
        <v>9199897</v>
      </c>
      <c r="V19" s="45">
        <v>9199897</v>
      </c>
      <c r="W19" s="45">
        <v>9199897</v>
      </c>
      <c r="X19" s="45">
        <v>9199897</v>
      </c>
    </row>
    <row r="20" spans="1:24" ht="33">
      <c r="A20" s="27"/>
      <c r="B20" s="31" t="s">
        <v>29</v>
      </c>
      <c r="C20" s="127" t="s">
        <v>105</v>
      </c>
      <c r="D20" s="133" t="s">
        <v>45</v>
      </c>
      <c r="E20" s="49">
        <f>Przedsięwzięcia!G15</f>
        <v>5039333.5</v>
      </c>
      <c r="F20" s="49">
        <f>Przedsięwzięcia!H15</f>
        <v>8007432.3</v>
      </c>
      <c r="G20" s="49">
        <f>Przedsięwzięcia!I15</f>
        <v>3961924.61</v>
      </c>
      <c r="H20" s="49">
        <f>Przedsięwzięcia!J15</f>
        <v>0</v>
      </c>
      <c r="I20" s="49">
        <f>Przedsięwzięcia!K15</f>
        <v>0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1:24" ht="12.75">
      <c r="A21" s="30" t="s">
        <v>25</v>
      </c>
      <c r="B21" s="168" t="s">
        <v>6</v>
      </c>
      <c r="C21" s="178"/>
      <c r="D21" s="47">
        <f>D22+D26+D27+D28</f>
        <v>14641478</v>
      </c>
      <c r="E21" s="47">
        <f aca="true" t="shared" si="4" ref="E21:L21">E22+E26+E27+E28</f>
        <v>10778608</v>
      </c>
      <c r="F21" s="47">
        <f t="shared" si="4"/>
        <v>3200000</v>
      </c>
      <c r="G21" s="47">
        <f t="shared" si="4"/>
        <v>3200000</v>
      </c>
      <c r="H21" s="47">
        <f t="shared" si="4"/>
        <v>3500000</v>
      </c>
      <c r="I21" s="47">
        <f t="shared" si="4"/>
        <v>3500000</v>
      </c>
      <c r="J21" s="47">
        <f t="shared" si="4"/>
        <v>3500000</v>
      </c>
      <c r="K21" s="47">
        <f t="shared" si="4"/>
        <v>3500000</v>
      </c>
      <c r="L21" s="47">
        <f t="shared" si="4"/>
        <v>3500000</v>
      </c>
      <c r="M21" s="47">
        <f aca="true" t="shared" si="5" ref="M21:X21">M22+M26+M27+M28</f>
        <v>3500000</v>
      </c>
      <c r="N21" s="47">
        <f t="shared" si="5"/>
        <v>3500000</v>
      </c>
      <c r="O21" s="47">
        <f t="shared" si="5"/>
        <v>3500000</v>
      </c>
      <c r="P21" s="47">
        <f t="shared" si="5"/>
        <v>3500000</v>
      </c>
      <c r="Q21" s="47">
        <f t="shared" si="5"/>
        <v>3500000</v>
      </c>
      <c r="R21" s="47">
        <f t="shared" si="5"/>
        <v>3500000</v>
      </c>
      <c r="S21" s="47">
        <f t="shared" si="5"/>
        <v>3500000</v>
      </c>
      <c r="T21" s="47">
        <f t="shared" si="5"/>
        <v>3500000</v>
      </c>
      <c r="U21" s="47">
        <f t="shared" si="5"/>
        <v>3500000</v>
      </c>
      <c r="V21" s="47">
        <f t="shared" si="5"/>
        <v>3500000</v>
      </c>
      <c r="W21" s="47">
        <f t="shared" si="5"/>
        <v>3500000</v>
      </c>
      <c r="X21" s="47">
        <f t="shared" si="5"/>
        <v>3500000</v>
      </c>
    </row>
    <row r="22" spans="1:24" ht="12.75">
      <c r="A22" s="24" t="s">
        <v>22</v>
      </c>
      <c r="B22" s="25"/>
      <c r="C22" s="26" t="s">
        <v>7</v>
      </c>
      <c r="D22" s="48">
        <f>D23+D24+D25</f>
        <v>9900000</v>
      </c>
      <c r="E22" s="48">
        <f aca="true" t="shared" si="6" ref="E22:L22">E23+E24+E25</f>
        <v>6000000</v>
      </c>
      <c r="F22" s="48">
        <f t="shared" si="6"/>
        <v>3200000</v>
      </c>
      <c r="G22" s="48">
        <f t="shared" si="6"/>
        <v>3200000</v>
      </c>
      <c r="H22" s="48">
        <f t="shared" si="6"/>
        <v>3500000</v>
      </c>
      <c r="I22" s="48">
        <f t="shared" si="6"/>
        <v>3500000</v>
      </c>
      <c r="J22" s="48">
        <f t="shared" si="6"/>
        <v>3500000</v>
      </c>
      <c r="K22" s="48">
        <f t="shared" si="6"/>
        <v>3500000</v>
      </c>
      <c r="L22" s="48">
        <f t="shared" si="6"/>
        <v>3500000</v>
      </c>
      <c r="M22" s="48">
        <f aca="true" t="shared" si="7" ref="M22:X22">M23+M24+M25</f>
        <v>3500000</v>
      </c>
      <c r="N22" s="48">
        <f t="shared" si="7"/>
        <v>3500000</v>
      </c>
      <c r="O22" s="48">
        <f t="shared" si="7"/>
        <v>3500000</v>
      </c>
      <c r="P22" s="48">
        <f t="shared" si="7"/>
        <v>3500000</v>
      </c>
      <c r="Q22" s="48">
        <f t="shared" si="7"/>
        <v>3500000</v>
      </c>
      <c r="R22" s="48">
        <f t="shared" si="7"/>
        <v>3500000</v>
      </c>
      <c r="S22" s="48">
        <f t="shared" si="7"/>
        <v>3500000</v>
      </c>
      <c r="T22" s="48">
        <f t="shared" si="7"/>
        <v>3500000</v>
      </c>
      <c r="U22" s="48">
        <f t="shared" si="7"/>
        <v>3500000</v>
      </c>
      <c r="V22" s="48">
        <f t="shared" si="7"/>
        <v>3500000</v>
      </c>
      <c r="W22" s="48">
        <f t="shared" si="7"/>
        <v>3500000</v>
      </c>
      <c r="X22" s="48">
        <f t="shared" si="7"/>
        <v>3500000</v>
      </c>
    </row>
    <row r="23" spans="1:24" ht="12.75">
      <c r="A23" s="27"/>
      <c r="B23" s="175" t="s">
        <v>29</v>
      </c>
      <c r="C23" s="29" t="s">
        <v>8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ht="12.75">
      <c r="A24" s="27"/>
      <c r="B24" s="176"/>
      <c r="C24" s="29" t="s">
        <v>9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ht="12.75">
      <c r="A25" s="27"/>
      <c r="B25" s="177"/>
      <c r="C25" s="29" t="s">
        <v>10</v>
      </c>
      <c r="D25" s="46">
        <v>9900000</v>
      </c>
      <c r="E25" s="46">
        <v>6000000</v>
      </c>
      <c r="F25" s="46">
        <v>3200000</v>
      </c>
      <c r="G25" s="46">
        <v>3200000</v>
      </c>
      <c r="H25" s="46">
        <v>3500000</v>
      </c>
      <c r="I25" s="46">
        <v>3500000</v>
      </c>
      <c r="J25" s="46">
        <v>3500000</v>
      </c>
      <c r="K25" s="46">
        <v>3500000</v>
      </c>
      <c r="L25" s="46">
        <v>3500000</v>
      </c>
      <c r="M25" s="46">
        <v>3500000</v>
      </c>
      <c r="N25" s="46">
        <v>3500000</v>
      </c>
      <c r="O25" s="46">
        <v>3500000</v>
      </c>
      <c r="P25" s="46">
        <v>3500000</v>
      </c>
      <c r="Q25" s="46">
        <v>3500000</v>
      </c>
      <c r="R25" s="46">
        <v>3500000</v>
      </c>
      <c r="S25" s="46">
        <v>3500000</v>
      </c>
      <c r="T25" s="46">
        <v>3500000</v>
      </c>
      <c r="U25" s="46">
        <v>3500000</v>
      </c>
      <c r="V25" s="46">
        <v>3500000</v>
      </c>
      <c r="W25" s="46">
        <v>3500000</v>
      </c>
      <c r="X25" s="46">
        <v>3500000</v>
      </c>
    </row>
    <row r="26" spans="1:24" ht="12.75">
      <c r="A26" s="24" t="s">
        <v>23</v>
      </c>
      <c r="B26" s="25"/>
      <c r="C26" s="26" t="s">
        <v>11</v>
      </c>
      <c r="D26" s="45">
        <v>0</v>
      </c>
      <c r="E26" s="45">
        <v>0</v>
      </c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12.75">
      <c r="A27" s="24" t="s">
        <v>26</v>
      </c>
      <c r="B27" s="25"/>
      <c r="C27" s="26" t="s">
        <v>12</v>
      </c>
      <c r="D27" s="45">
        <v>0</v>
      </c>
      <c r="E27" s="45">
        <v>0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2.75">
      <c r="A28" s="24" t="s">
        <v>27</v>
      </c>
      <c r="B28" s="25"/>
      <c r="C28" s="26" t="s">
        <v>13</v>
      </c>
      <c r="D28" s="45">
        <v>4741478</v>
      </c>
      <c r="E28" s="45">
        <v>4778608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12.75">
      <c r="A29" s="30" t="s">
        <v>28</v>
      </c>
      <c r="B29" s="168" t="s">
        <v>14</v>
      </c>
      <c r="C29" s="178"/>
      <c r="D29" s="47">
        <f>D30+D34</f>
        <v>2400000</v>
      </c>
      <c r="E29" s="47">
        <f aca="true" t="shared" si="8" ref="E29:L29">E30+E34</f>
        <v>3000000</v>
      </c>
      <c r="F29" s="47">
        <f t="shared" si="8"/>
        <v>3200000</v>
      </c>
      <c r="G29" s="47">
        <f t="shared" si="8"/>
        <v>3200000</v>
      </c>
      <c r="H29" s="47">
        <f t="shared" si="8"/>
        <v>3500000</v>
      </c>
      <c r="I29" s="47">
        <f t="shared" si="8"/>
        <v>3500000</v>
      </c>
      <c r="J29" s="47">
        <f t="shared" si="8"/>
        <v>3500000</v>
      </c>
      <c r="K29" s="47">
        <f t="shared" si="8"/>
        <v>3500000</v>
      </c>
      <c r="L29" s="47">
        <f t="shared" si="8"/>
        <v>3500000</v>
      </c>
      <c r="M29" s="47">
        <f aca="true" t="shared" si="9" ref="M29:X29">M30+M34</f>
        <v>3500000</v>
      </c>
      <c r="N29" s="47">
        <f t="shared" si="9"/>
        <v>3500000</v>
      </c>
      <c r="O29" s="47">
        <f t="shared" si="9"/>
        <v>3500000</v>
      </c>
      <c r="P29" s="47">
        <f t="shared" si="9"/>
        <v>3500000</v>
      </c>
      <c r="Q29" s="47">
        <f t="shared" si="9"/>
        <v>3500000</v>
      </c>
      <c r="R29" s="47">
        <f t="shared" si="9"/>
        <v>3500000</v>
      </c>
      <c r="S29" s="47">
        <f t="shared" si="9"/>
        <v>3500000</v>
      </c>
      <c r="T29" s="47">
        <f t="shared" si="9"/>
        <v>3500000</v>
      </c>
      <c r="U29" s="47">
        <f t="shared" si="9"/>
        <v>3500000</v>
      </c>
      <c r="V29" s="47">
        <f t="shared" si="9"/>
        <v>3500000</v>
      </c>
      <c r="W29" s="47">
        <f t="shared" si="9"/>
        <v>3500000</v>
      </c>
      <c r="X29" s="47">
        <f t="shared" si="9"/>
        <v>3500000</v>
      </c>
    </row>
    <row r="30" spans="1:24" ht="12.75">
      <c r="A30" s="24" t="s">
        <v>22</v>
      </c>
      <c r="B30" s="25"/>
      <c r="C30" s="26" t="s">
        <v>56</v>
      </c>
      <c r="D30" s="48">
        <f>D31+D32+D33</f>
        <v>2400000</v>
      </c>
      <c r="E30" s="48">
        <f aca="true" t="shared" si="10" ref="E30:L30">E31+E32+E33</f>
        <v>3000000</v>
      </c>
      <c r="F30" s="48">
        <f>F31+F32+F33</f>
        <v>3200000</v>
      </c>
      <c r="G30" s="48">
        <f t="shared" si="10"/>
        <v>3200000</v>
      </c>
      <c r="H30" s="48">
        <f t="shared" si="10"/>
        <v>3500000</v>
      </c>
      <c r="I30" s="48">
        <f t="shared" si="10"/>
        <v>3500000</v>
      </c>
      <c r="J30" s="48">
        <f>J31+J32+J33</f>
        <v>3500000</v>
      </c>
      <c r="K30" s="48">
        <f t="shared" si="10"/>
        <v>3500000</v>
      </c>
      <c r="L30" s="48">
        <f t="shared" si="10"/>
        <v>3500000</v>
      </c>
      <c r="M30" s="48">
        <f aca="true" t="shared" si="11" ref="M30:X30">M31+M32+M33</f>
        <v>3500000</v>
      </c>
      <c r="N30" s="48">
        <f t="shared" si="11"/>
        <v>3500000</v>
      </c>
      <c r="O30" s="48">
        <f t="shared" si="11"/>
        <v>3500000</v>
      </c>
      <c r="P30" s="48">
        <f t="shared" si="11"/>
        <v>3500000</v>
      </c>
      <c r="Q30" s="48">
        <f t="shared" si="11"/>
        <v>3500000</v>
      </c>
      <c r="R30" s="48">
        <f t="shared" si="11"/>
        <v>3500000</v>
      </c>
      <c r="S30" s="48">
        <f t="shared" si="11"/>
        <v>3500000</v>
      </c>
      <c r="T30" s="48">
        <f t="shared" si="11"/>
        <v>3500000</v>
      </c>
      <c r="U30" s="48">
        <f t="shared" si="11"/>
        <v>3500000</v>
      </c>
      <c r="V30" s="48">
        <f t="shared" si="11"/>
        <v>3500000</v>
      </c>
      <c r="W30" s="48">
        <f t="shared" si="11"/>
        <v>3500000</v>
      </c>
      <c r="X30" s="48">
        <f t="shared" si="11"/>
        <v>3500000</v>
      </c>
    </row>
    <row r="31" spans="1:24" ht="12.75">
      <c r="A31" s="27"/>
      <c r="B31" s="175" t="s">
        <v>29</v>
      </c>
      <c r="C31" s="29" t="s">
        <v>8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spans="1:24" ht="12.75">
      <c r="A32" s="27"/>
      <c r="B32" s="176"/>
      <c r="C32" s="29" t="s">
        <v>9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1:24" ht="12.75">
      <c r="A33" s="27"/>
      <c r="B33" s="177"/>
      <c r="C33" s="29" t="s">
        <v>15</v>
      </c>
      <c r="D33" s="46">
        <v>2400000</v>
      </c>
      <c r="E33" s="46">
        <v>3000000</v>
      </c>
      <c r="F33" s="46">
        <v>3200000</v>
      </c>
      <c r="G33" s="46">
        <v>3200000</v>
      </c>
      <c r="H33" s="46">
        <v>3500000</v>
      </c>
      <c r="I33" s="46">
        <v>3500000</v>
      </c>
      <c r="J33" s="46">
        <v>3500000</v>
      </c>
      <c r="K33" s="46">
        <v>3500000</v>
      </c>
      <c r="L33" s="46">
        <v>3500000</v>
      </c>
      <c r="M33" s="46">
        <v>3500000</v>
      </c>
      <c r="N33" s="46">
        <v>3500000</v>
      </c>
      <c r="O33" s="46">
        <v>3500000</v>
      </c>
      <c r="P33" s="46">
        <v>3500000</v>
      </c>
      <c r="Q33" s="46">
        <v>3500000</v>
      </c>
      <c r="R33" s="46">
        <v>3500000</v>
      </c>
      <c r="S33" s="46">
        <v>3500000</v>
      </c>
      <c r="T33" s="46">
        <v>3500000</v>
      </c>
      <c r="U33" s="46">
        <v>3500000</v>
      </c>
      <c r="V33" s="46">
        <v>3500000</v>
      </c>
      <c r="W33" s="46">
        <v>3500000</v>
      </c>
      <c r="X33" s="46">
        <v>3500000</v>
      </c>
    </row>
    <row r="34" spans="1:24" ht="12.75">
      <c r="A34" s="24" t="s">
        <v>23</v>
      </c>
      <c r="B34" s="25"/>
      <c r="C34" s="26" t="s">
        <v>30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12.75">
      <c r="A35" s="30" t="s">
        <v>31</v>
      </c>
      <c r="B35" s="168" t="s">
        <v>16</v>
      </c>
      <c r="C35" s="178"/>
      <c r="D35" s="47">
        <f aca="true" t="shared" si="12" ref="D35:L35">D6-D10</f>
        <v>-7462870</v>
      </c>
      <c r="E35" s="47">
        <f t="shared" si="12"/>
        <v>-7778608.370000005</v>
      </c>
      <c r="F35" s="47">
        <f t="shared" si="12"/>
        <v>0.019999995827674866</v>
      </c>
      <c r="G35" s="47">
        <f t="shared" si="12"/>
        <v>-0.26000000536441803</v>
      </c>
      <c r="H35" s="47">
        <f t="shared" si="12"/>
        <v>0</v>
      </c>
      <c r="I35" s="47">
        <f t="shared" si="12"/>
        <v>0</v>
      </c>
      <c r="J35" s="47">
        <f t="shared" si="12"/>
        <v>0</v>
      </c>
      <c r="K35" s="47">
        <f t="shared" si="12"/>
        <v>0</v>
      </c>
      <c r="L35" s="47">
        <f t="shared" si="12"/>
        <v>0</v>
      </c>
      <c r="M35" s="47">
        <f aca="true" t="shared" si="13" ref="M35:X35">M6-M10</f>
        <v>0</v>
      </c>
      <c r="N35" s="47">
        <f t="shared" si="13"/>
        <v>0</v>
      </c>
      <c r="O35" s="47">
        <f t="shared" si="13"/>
        <v>0</v>
      </c>
      <c r="P35" s="47">
        <f t="shared" si="13"/>
        <v>0</v>
      </c>
      <c r="Q35" s="47">
        <f t="shared" si="13"/>
        <v>0</v>
      </c>
      <c r="R35" s="47">
        <f t="shared" si="13"/>
        <v>0</v>
      </c>
      <c r="S35" s="47">
        <f t="shared" si="13"/>
        <v>0</v>
      </c>
      <c r="T35" s="47">
        <f t="shared" si="13"/>
        <v>0</v>
      </c>
      <c r="U35" s="47">
        <f t="shared" si="13"/>
        <v>0</v>
      </c>
      <c r="V35" s="47">
        <f t="shared" si="13"/>
        <v>0</v>
      </c>
      <c r="W35" s="47">
        <f t="shared" si="13"/>
        <v>0</v>
      </c>
      <c r="X35" s="47">
        <f t="shared" si="13"/>
        <v>0</v>
      </c>
    </row>
    <row r="36" spans="1:24" ht="12.75">
      <c r="A36" s="30" t="s">
        <v>32</v>
      </c>
      <c r="B36" s="168" t="s">
        <v>18</v>
      </c>
      <c r="C36" s="178"/>
      <c r="D36" s="47">
        <f>D37+D38+D39+D40+D41+D42</f>
        <v>7462870</v>
      </c>
      <c r="E36" s="47">
        <f aca="true" t="shared" si="14" ref="E36:L36">E37+E38+E39+E40+E41+E42</f>
        <v>7778608.370000005</v>
      </c>
      <c r="F36" s="47">
        <f t="shared" si="14"/>
        <v>0</v>
      </c>
      <c r="G36" s="47">
        <f t="shared" si="14"/>
        <v>0.26000000536441803</v>
      </c>
      <c r="H36" s="47">
        <f t="shared" si="14"/>
        <v>0</v>
      </c>
      <c r="I36" s="47">
        <f t="shared" si="14"/>
        <v>0</v>
      </c>
      <c r="J36" s="47">
        <f t="shared" si="14"/>
        <v>0</v>
      </c>
      <c r="K36" s="47">
        <f t="shared" si="14"/>
        <v>0</v>
      </c>
      <c r="L36" s="47">
        <f t="shared" si="14"/>
        <v>0</v>
      </c>
      <c r="M36" s="47">
        <f aca="true" t="shared" si="15" ref="M36:X36">M37+M38+M39+M40+M41+M42</f>
        <v>0</v>
      </c>
      <c r="N36" s="47">
        <f t="shared" si="15"/>
        <v>0</v>
      </c>
      <c r="O36" s="47">
        <f t="shared" si="15"/>
        <v>0</v>
      </c>
      <c r="P36" s="47">
        <f t="shared" si="15"/>
        <v>0</v>
      </c>
      <c r="Q36" s="47">
        <f t="shared" si="15"/>
        <v>0</v>
      </c>
      <c r="R36" s="47">
        <f t="shared" si="15"/>
        <v>0</v>
      </c>
      <c r="S36" s="47">
        <f t="shared" si="15"/>
        <v>0</v>
      </c>
      <c r="T36" s="47">
        <f t="shared" si="15"/>
        <v>0</v>
      </c>
      <c r="U36" s="47">
        <f t="shared" si="15"/>
        <v>0</v>
      </c>
      <c r="V36" s="47">
        <f t="shared" si="15"/>
        <v>0</v>
      </c>
      <c r="W36" s="47">
        <f t="shared" si="15"/>
        <v>0</v>
      </c>
      <c r="X36" s="47">
        <f t="shared" si="15"/>
        <v>0</v>
      </c>
    </row>
    <row r="37" spans="1:24" ht="12.75">
      <c r="A37" s="27"/>
      <c r="B37" s="32"/>
      <c r="C37" s="33" t="s">
        <v>8</v>
      </c>
      <c r="D37" s="49">
        <f>IF(D35&lt;0,IF(D23&gt;(-D35),(-D35),D23),0)</f>
        <v>0</v>
      </c>
      <c r="E37" s="49">
        <f aca="true" t="shared" si="16" ref="E37:L37">IF(E35&lt;0,IF(E23&gt;(-E35),(-E35),E23),0)</f>
        <v>0</v>
      </c>
      <c r="F37" s="49">
        <f t="shared" si="16"/>
        <v>0</v>
      </c>
      <c r="G37" s="49">
        <f t="shared" si="16"/>
        <v>0</v>
      </c>
      <c r="H37" s="49">
        <f t="shared" si="16"/>
        <v>0</v>
      </c>
      <c r="I37" s="49">
        <f t="shared" si="16"/>
        <v>0</v>
      </c>
      <c r="J37" s="49">
        <f t="shared" si="16"/>
        <v>0</v>
      </c>
      <c r="K37" s="49">
        <f t="shared" si="16"/>
        <v>0</v>
      </c>
      <c r="L37" s="49">
        <f t="shared" si="16"/>
        <v>0</v>
      </c>
      <c r="M37" s="49">
        <f aca="true" t="shared" si="17" ref="M37:X37">IF(M35&lt;0,IF(M23&gt;(-M35),(-M35),M23),0)</f>
        <v>0</v>
      </c>
      <c r="N37" s="49">
        <f t="shared" si="17"/>
        <v>0</v>
      </c>
      <c r="O37" s="49">
        <f t="shared" si="17"/>
        <v>0</v>
      </c>
      <c r="P37" s="49">
        <f t="shared" si="17"/>
        <v>0</v>
      </c>
      <c r="Q37" s="49">
        <f t="shared" si="17"/>
        <v>0</v>
      </c>
      <c r="R37" s="49">
        <f t="shared" si="17"/>
        <v>0</v>
      </c>
      <c r="S37" s="49">
        <f t="shared" si="17"/>
        <v>0</v>
      </c>
      <c r="T37" s="49">
        <f t="shared" si="17"/>
        <v>0</v>
      </c>
      <c r="U37" s="49">
        <f t="shared" si="17"/>
        <v>0</v>
      </c>
      <c r="V37" s="49">
        <f t="shared" si="17"/>
        <v>0</v>
      </c>
      <c r="W37" s="49">
        <f t="shared" si="17"/>
        <v>0</v>
      </c>
      <c r="X37" s="49">
        <f t="shared" si="17"/>
        <v>0</v>
      </c>
    </row>
    <row r="38" spans="1:24" ht="12.75">
      <c r="A38" s="27"/>
      <c r="B38" s="32"/>
      <c r="C38" s="33" t="s">
        <v>9</v>
      </c>
      <c r="D38" s="49">
        <f>IF((D37+D35)&lt;0,IF(D24&gt;(-D35-D37),(-D35-D37),D24),0)</f>
        <v>0</v>
      </c>
      <c r="E38" s="49">
        <f aca="true" t="shared" si="18" ref="E38:X38">IF((E37+E35)&lt;0,IF(E24&gt;(-E35-E37),(-E35-E37),E24),0)</f>
        <v>0</v>
      </c>
      <c r="F38" s="49">
        <f t="shared" si="18"/>
        <v>0</v>
      </c>
      <c r="G38" s="49">
        <f t="shared" si="18"/>
        <v>0</v>
      </c>
      <c r="H38" s="49">
        <f t="shared" si="18"/>
        <v>0</v>
      </c>
      <c r="I38" s="49">
        <f t="shared" si="18"/>
        <v>0</v>
      </c>
      <c r="J38" s="49">
        <f t="shared" si="18"/>
        <v>0</v>
      </c>
      <c r="K38" s="49">
        <f t="shared" si="18"/>
        <v>0</v>
      </c>
      <c r="L38" s="49">
        <f t="shared" si="18"/>
        <v>0</v>
      </c>
      <c r="M38" s="49">
        <f t="shared" si="18"/>
        <v>0</v>
      </c>
      <c r="N38" s="49">
        <f t="shared" si="18"/>
        <v>0</v>
      </c>
      <c r="O38" s="49">
        <f t="shared" si="18"/>
        <v>0</v>
      </c>
      <c r="P38" s="49">
        <f t="shared" si="18"/>
        <v>0</v>
      </c>
      <c r="Q38" s="49">
        <f t="shared" si="18"/>
        <v>0</v>
      </c>
      <c r="R38" s="49">
        <f t="shared" si="18"/>
        <v>0</v>
      </c>
      <c r="S38" s="49">
        <f t="shared" si="18"/>
        <v>0</v>
      </c>
      <c r="T38" s="49">
        <f t="shared" si="18"/>
        <v>0</v>
      </c>
      <c r="U38" s="49">
        <f t="shared" si="18"/>
        <v>0</v>
      </c>
      <c r="V38" s="49">
        <f t="shared" si="18"/>
        <v>0</v>
      </c>
      <c r="W38" s="49">
        <f t="shared" si="18"/>
        <v>0</v>
      </c>
      <c r="X38" s="49">
        <f t="shared" si="18"/>
        <v>0</v>
      </c>
    </row>
    <row r="39" spans="1:24" ht="12.75">
      <c r="A39" s="27"/>
      <c r="B39" s="32"/>
      <c r="C39" s="33" t="s">
        <v>10</v>
      </c>
      <c r="D39" s="49">
        <f>IF((D37+D35+D38)&lt;0,IF(D25&gt;(-D35-D37-D38),(-D35-D37-D38),D25),0)</f>
        <v>7462870</v>
      </c>
      <c r="E39" s="49">
        <f aca="true" t="shared" si="19" ref="E39:X39">IF((E37+E35+E38)&lt;0,IF(E25&gt;(-E35-E37-E38),(-E35-E37-E38),E25),0)</f>
        <v>6000000</v>
      </c>
      <c r="F39" s="49">
        <f t="shared" si="19"/>
        <v>0</v>
      </c>
      <c r="G39" s="49">
        <f t="shared" si="19"/>
        <v>0.26000000536441803</v>
      </c>
      <c r="H39" s="49">
        <f t="shared" si="19"/>
        <v>0</v>
      </c>
      <c r="I39" s="49">
        <f t="shared" si="19"/>
        <v>0</v>
      </c>
      <c r="J39" s="49">
        <f t="shared" si="19"/>
        <v>0</v>
      </c>
      <c r="K39" s="49">
        <f t="shared" si="19"/>
        <v>0</v>
      </c>
      <c r="L39" s="49">
        <f t="shared" si="19"/>
        <v>0</v>
      </c>
      <c r="M39" s="49">
        <f t="shared" si="19"/>
        <v>0</v>
      </c>
      <c r="N39" s="49">
        <f t="shared" si="19"/>
        <v>0</v>
      </c>
      <c r="O39" s="49">
        <f t="shared" si="19"/>
        <v>0</v>
      </c>
      <c r="P39" s="49">
        <f t="shared" si="19"/>
        <v>0</v>
      </c>
      <c r="Q39" s="49">
        <f t="shared" si="19"/>
        <v>0</v>
      </c>
      <c r="R39" s="49">
        <f t="shared" si="19"/>
        <v>0</v>
      </c>
      <c r="S39" s="49">
        <f t="shared" si="19"/>
        <v>0</v>
      </c>
      <c r="T39" s="49">
        <f t="shared" si="19"/>
        <v>0</v>
      </c>
      <c r="U39" s="49">
        <f t="shared" si="19"/>
        <v>0</v>
      </c>
      <c r="V39" s="49">
        <f t="shared" si="19"/>
        <v>0</v>
      </c>
      <c r="W39" s="49">
        <f t="shared" si="19"/>
        <v>0</v>
      </c>
      <c r="X39" s="49">
        <f t="shared" si="19"/>
        <v>0</v>
      </c>
    </row>
    <row r="40" spans="1:24" ht="12.75">
      <c r="A40" s="27"/>
      <c r="B40" s="32"/>
      <c r="C40" s="33" t="s">
        <v>11</v>
      </c>
      <c r="D40" s="49">
        <f>IF((D37+D35+D38+D39)&lt;0,IF(D26&gt;(-D35-D37-D38-D39),(-D35-D37-D38-D39),D26),0)</f>
        <v>0</v>
      </c>
      <c r="E40" s="49">
        <f aca="true" t="shared" si="20" ref="E40:X40">IF((E37+E35+E38+E39)&lt;0,IF(E26&gt;(-E35-E37-E38-E39),(-E35-E37-E38-E39),E26),0)</f>
        <v>0</v>
      </c>
      <c r="F40" s="49">
        <f t="shared" si="20"/>
        <v>0</v>
      </c>
      <c r="G40" s="49">
        <f t="shared" si="20"/>
        <v>0</v>
      </c>
      <c r="H40" s="49">
        <f t="shared" si="20"/>
        <v>0</v>
      </c>
      <c r="I40" s="49">
        <f t="shared" si="20"/>
        <v>0</v>
      </c>
      <c r="J40" s="49">
        <f t="shared" si="20"/>
        <v>0</v>
      </c>
      <c r="K40" s="49">
        <f t="shared" si="20"/>
        <v>0</v>
      </c>
      <c r="L40" s="49">
        <f t="shared" si="20"/>
        <v>0</v>
      </c>
      <c r="M40" s="49">
        <f t="shared" si="20"/>
        <v>0</v>
      </c>
      <c r="N40" s="49">
        <f t="shared" si="20"/>
        <v>0</v>
      </c>
      <c r="O40" s="49">
        <f t="shared" si="20"/>
        <v>0</v>
      </c>
      <c r="P40" s="49">
        <f t="shared" si="20"/>
        <v>0</v>
      </c>
      <c r="Q40" s="49">
        <f t="shared" si="20"/>
        <v>0</v>
      </c>
      <c r="R40" s="49">
        <f t="shared" si="20"/>
        <v>0</v>
      </c>
      <c r="S40" s="49">
        <f t="shared" si="20"/>
        <v>0</v>
      </c>
      <c r="T40" s="49">
        <f t="shared" si="20"/>
        <v>0</v>
      </c>
      <c r="U40" s="49">
        <f t="shared" si="20"/>
        <v>0</v>
      </c>
      <c r="V40" s="49">
        <f t="shared" si="20"/>
        <v>0</v>
      </c>
      <c r="W40" s="49">
        <f t="shared" si="20"/>
        <v>0</v>
      </c>
      <c r="X40" s="49">
        <f t="shared" si="20"/>
        <v>0</v>
      </c>
    </row>
    <row r="41" spans="1:24" ht="12.75">
      <c r="A41" s="27"/>
      <c r="B41" s="32"/>
      <c r="C41" s="33" t="s">
        <v>12</v>
      </c>
      <c r="D41" s="49">
        <f>IF((D37+D35+D38+D39+D40)&lt;0,IF(D27&gt;(-D35-D37-D38-D39-D40),(-D35-D37-D38-D39-D40),D27),0)</f>
        <v>0</v>
      </c>
      <c r="E41" s="49">
        <f aca="true" t="shared" si="21" ref="E41:X41">IF((E37+E35+E38+E39+E40)&lt;0,IF(E27&gt;(-E35-E37-E38-E39-E40),(-E35-E37-E38-E39-E40),E27),0)</f>
        <v>0</v>
      </c>
      <c r="F41" s="49">
        <f t="shared" si="21"/>
        <v>0</v>
      </c>
      <c r="G41" s="49">
        <f t="shared" si="21"/>
        <v>0</v>
      </c>
      <c r="H41" s="49">
        <f t="shared" si="21"/>
        <v>0</v>
      </c>
      <c r="I41" s="49">
        <f t="shared" si="21"/>
        <v>0</v>
      </c>
      <c r="J41" s="49">
        <f t="shared" si="21"/>
        <v>0</v>
      </c>
      <c r="K41" s="49">
        <f t="shared" si="21"/>
        <v>0</v>
      </c>
      <c r="L41" s="49">
        <f t="shared" si="21"/>
        <v>0</v>
      </c>
      <c r="M41" s="49">
        <f t="shared" si="21"/>
        <v>0</v>
      </c>
      <c r="N41" s="49">
        <f t="shared" si="21"/>
        <v>0</v>
      </c>
      <c r="O41" s="49">
        <f t="shared" si="21"/>
        <v>0</v>
      </c>
      <c r="P41" s="49">
        <f t="shared" si="21"/>
        <v>0</v>
      </c>
      <c r="Q41" s="49">
        <f t="shared" si="21"/>
        <v>0</v>
      </c>
      <c r="R41" s="49">
        <f t="shared" si="21"/>
        <v>0</v>
      </c>
      <c r="S41" s="49">
        <f t="shared" si="21"/>
        <v>0</v>
      </c>
      <c r="T41" s="49">
        <f t="shared" si="21"/>
        <v>0</v>
      </c>
      <c r="U41" s="49">
        <f t="shared" si="21"/>
        <v>0</v>
      </c>
      <c r="V41" s="49">
        <f t="shared" si="21"/>
        <v>0</v>
      </c>
      <c r="W41" s="49">
        <f t="shared" si="21"/>
        <v>0</v>
      </c>
      <c r="X41" s="49">
        <f t="shared" si="21"/>
        <v>0</v>
      </c>
    </row>
    <row r="42" spans="1:24" ht="12.75">
      <c r="A42" s="27"/>
      <c r="B42" s="32"/>
      <c r="C42" s="33" t="s">
        <v>13</v>
      </c>
      <c r="D42" s="49">
        <f>IF((D37+D35+D38+D39+D40+D41)&lt;0,IF(D28&gt;(-D35-D37-D38-D39-D40-D41),(-D35-D37-D38-D39-D40-D41),D28),0)</f>
        <v>0</v>
      </c>
      <c r="E42" s="49">
        <f aca="true" t="shared" si="22" ref="E42:X42">IF((E37+E35+E38+E39+E40+E41)&lt;0,IF(E28&gt;(-E35-E37-E38-E39-E40-E41),(-E35-E37-E38-E39-E40-E41),E28),0)</f>
        <v>1778608.3700000048</v>
      </c>
      <c r="F42" s="49">
        <f t="shared" si="22"/>
        <v>0</v>
      </c>
      <c r="G42" s="49">
        <f t="shared" si="22"/>
        <v>0</v>
      </c>
      <c r="H42" s="49">
        <f t="shared" si="22"/>
        <v>0</v>
      </c>
      <c r="I42" s="49">
        <f t="shared" si="22"/>
        <v>0</v>
      </c>
      <c r="J42" s="49">
        <f t="shared" si="22"/>
        <v>0</v>
      </c>
      <c r="K42" s="49">
        <f t="shared" si="22"/>
        <v>0</v>
      </c>
      <c r="L42" s="49">
        <f t="shared" si="22"/>
        <v>0</v>
      </c>
      <c r="M42" s="49">
        <f t="shared" si="22"/>
        <v>0</v>
      </c>
      <c r="N42" s="49">
        <f t="shared" si="22"/>
        <v>0</v>
      </c>
      <c r="O42" s="49">
        <f t="shared" si="22"/>
        <v>0</v>
      </c>
      <c r="P42" s="49">
        <f t="shared" si="22"/>
        <v>0</v>
      </c>
      <c r="Q42" s="49">
        <f t="shared" si="22"/>
        <v>0</v>
      </c>
      <c r="R42" s="49">
        <f t="shared" si="22"/>
        <v>0</v>
      </c>
      <c r="S42" s="49">
        <f t="shared" si="22"/>
        <v>0</v>
      </c>
      <c r="T42" s="49">
        <f t="shared" si="22"/>
        <v>0</v>
      </c>
      <c r="U42" s="49">
        <f t="shared" si="22"/>
        <v>0</v>
      </c>
      <c r="V42" s="49">
        <f t="shared" si="22"/>
        <v>0</v>
      </c>
      <c r="W42" s="49">
        <f t="shared" si="22"/>
        <v>0</v>
      </c>
      <c r="X42" s="49">
        <f t="shared" si="22"/>
        <v>0</v>
      </c>
    </row>
    <row r="43" spans="1:24" ht="12.75">
      <c r="A43" s="30" t="s">
        <v>33</v>
      </c>
      <c r="B43" s="168" t="s">
        <v>19</v>
      </c>
      <c r="C43" s="178"/>
      <c r="D43" s="47">
        <f>IF(D35&gt;0,D35,0)</f>
        <v>0</v>
      </c>
      <c r="E43" s="47">
        <f>IF(E35&gt;0,E35,0)</f>
        <v>0</v>
      </c>
      <c r="F43" s="47">
        <f aca="true" t="shared" si="23" ref="F43:L43">IF(F35&gt;0,F35,0)</f>
        <v>0.019999995827674866</v>
      </c>
      <c r="G43" s="47">
        <f t="shared" si="23"/>
        <v>0</v>
      </c>
      <c r="H43" s="47">
        <f t="shared" si="23"/>
        <v>0</v>
      </c>
      <c r="I43" s="47">
        <f t="shared" si="23"/>
        <v>0</v>
      </c>
      <c r="J43" s="47">
        <f t="shared" si="23"/>
        <v>0</v>
      </c>
      <c r="K43" s="47">
        <f t="shared" si="23"/>
        <v>0</v>
      </c>
      <c r="L43" s="47">
        <f t="shared" si="23"/>
        <v>0</v>
      </c>
      <c r="M43" s="47">
        <f aca="true" t="shared" si="24" ref="M43:X43">IF(M35&gt;0,M35,0)</f>
        <v>0</v>
      </c>
      <c r="N43" s="47">
        <f t="shared" si="24"/>
        <v>0</v>
      </c>
      <c r="O43" s="47">
        <f t="shared" si="24"/>
        <v>0</v>
      </c>
      <c r="P43" s="47">
        <f t="shared" si="24"/>
        <v>0</v>
      </c>
      <c r="Q43" s="47">
        <f t="shared" si="24"/>
        <v>0</v>
      </c>
      <c r="R43" s="47">
        <f t="shared" si="24"/>
        <v>0</v>
      </c>
      <c r="S43" s="47">
        <f t="shared" si="24"/>
        <v>0</v>
      </c>
      <c r="T43" s="47">
        <f t="shared" si="24"/>
        <v>0</v>
      </c>
      <c r="U43" s="47">
        <f t="shared" si="24"/>
        <v>0</v>
      </c>
      <c r="V43" s="47">
        <f t="shared" si="24"/>
        <v>0</v>
      </c>
      <c r="W43" s="47">
        <f t="shared" si="24"/>
        <v>0</v>
      </c>
      <c r="X43" s="47">
        <f t="shared" si="24"/>
        <v>0</v>
      </c>
    </row>
    <row r="44" spans="1:24" ht="12.75">
      <c r="A44" s="27"/>
      <c r="B44" s="32"/>
      <c r="C44" s="33" t="s">
        <v>57</v>
      </c>
      <c r="D44" s="49">
        <f>D43-D45</f>
        <v>0</v>
      </c>
      <c r="E44" s="49">
        <f>E43-E45</f>
        <v>0</v>
      </c>
      <c r="F44" s="49">
        <f aca="true" t="shared" si="25" ref="F44:X44">F43-F45</f>
        <v>0.019999995827674866</v>
      </c>
      <c r="G44" s="49">
        <f t="shared" si="25"/>
        <v>0</v>
      </c>
      <c r="H44" s="49">
        <f t="shared" si="25"/>
        <v>0</v>
      </c>
      <c r="I44" s="49">
        <f t="shared" si="25"/>
        <v>0</v>
      </c>
      <c r="J44" s="49">
        <f t="shared" si="25"/>
        <v>0</v>
      </c>
      <c r="K44" s="49">
        <f t="shared" si="25"/>
        <v>0</v>
      </c>
      <c r="L44" s="49">
        <f t="shared" si="25"/>
        <v>0</v>
      </c>
      <c r="M44" s="49">
        <f t="shared" si="25"/>
        <v>0</v>
      </c>
      <c r="N44" s="49">
        <f t="shared" si="25"/>
        <v>0</v>
      </c>
      <c r="O44" s="49">
        <f t="shared" si="25"/>
        <v>0</v>
      </c>
      <c r="P44" s="49">
        <f t="shared" si="25"/>
        <v>0</v>
      </c>
      <c r="Q44" s="49">
        <f t="shared" si="25"/>
        <v>0</v>
      </c>
      <c r="R44" s="49">
        <f t="shared" si="25"/>
        <v>0</v>
      </c>
      <c r="S44" s="49">
        <f t="shared" si="25"/>
        <v>0</v>
      </c>
      <c r="T44" s="49">
        <f t="shared" si="25"/>
        <v>0</v>
      </c>
      <c r="U44" s="49">
        <f t="shared" si="25"/>
        <v>0</v>
      </c>
      <c r="V44" s="49">
        <f t="shared" si="25"/>
        <v>0</v>
      </c>
      <c r="W44" s="49">
        <f t="shared" si="25"/>
        <v>0</v>
      </c>
      <c r="X44" s="49">
        <f t="shared" si="25"/>
        <v>0</v>
      </c>
    </row>
    <row r="45" spans="1:24" ht="12.75">
      <c r="A45" s="27"/>
      <c r="B45" s="32"/>
      <c r="C45" s="33" t="s">
        <v>20</v>
      </c>
      <c r="D45" s="49">
        <f>IF(D35&gt;0,IF(D34&gt;D35,D35,D34),0)</f>
        <v>0</v>
      </c>
      <c r="E45" s="49">
        <f>IF(E35&gt;0,IF(E34&gt;E35,E35,E34),0)</f>
        <v>0</v>
      </c>
      <c r="F45" s="49">
        <f aca="true" t="shared" si="26" ref="F45:L45">IF(F35&gt;0,IF(F34&gt;F35,F35,F34),0)</f>
        <v>0</v>
      </c>
      <c r="G45" s="49">
        <f t="shared" si="26"/>
        <v>0</v>
      </c>
      <c r="H45" s="49">
        <f t="shared" si="26"/>
        <v>0</v>
      </c>
      <c r="I45" s="49">
        <f t="shared" si="26"/>
        <v>0</v>
      </c>
      <c r="J45" s="49">
        <f t="shared" si="26"/>
        <v>0</v>
      </c>
      <c r="K45" s="49">
        <f t="shared" si="26"/>
        <v>0</v>
      </c>
      <c r="L45" s="49">
        <f t="shared" si="26"/>
        <v>0</v>
      </c>
      <c r="M45" s="49">
        <f aca="true" t="shared" si="27" ref="M45:X45">IF(M35&gt;0,IF(M34&gt;M35,M35,M34),0)</f>
        <v>0</v>
      </c>
      <c r="N45" s="49">
        <f t="shared" si="27"/>
        <v>0</v>
      </c>
      <c r="O45" s="49">
        <f t="shared" si="27"/>
        <v>0</v>
      </c>
      <c r="P45" s="49">
        <f t="shared" si="27"/>
        <v>0</v>
      </c>
      <c r="Q45" s="49">
        <f t="shared" si="27"/>
        <v>0</v>
      </c>
      <c r="R45" s="49">
        <f t="shared" si="27"/>
        <v>0</v>
      </c>
      <c r="S45" s="49">
        <f t="shared" si="27"/>
        <v>0</v>
      </c>
      <c r="T45" s="49">
        <f t="shared" si="27"/>
        <v>0</v>
      </c>
      <c r="U45" s="49">
        <f t="shared" si="27"/>
        <v>0</v>
      </c>
      <c r="V45" s="49">
        <f t="shared" si="27"/>
        <v>0</v>
      </c>
      <c r="W45" s="49">
        <f t="shared" si="27"/>
        <v>0</v>
      </c>
      <c r="X45" s="49">
        <f t="shared" si="27"/>
        <v>0</v>
      </c>
    </row>
    <row r="46" spans="1:24" ht="12.75">
      <c r="A46" s="27"/>
      <c r="B46" s="32"/>
      <c r="C46" s="34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ht="12.75">
      <c r="A47" s="30" t="s">
        <v>34</v>
      </c>
      <c r="B47" s="168" t="s">
        <v>107</v>
      </c>
      <c r="C47" s="169"/>
      <c r="D47" s="47">
        <f>Startowa!D4+D22-D30</f>
        <v>36800000</v>
      </c>
      <c r="E47" s="47">
        <f>D47+E22-E30</f>
        <v>39800000</v>
      </c>
      <c r="F47" s="47">
        <f aca="true" t="shared" si="28" ref="F47:L47">E47+F22-F30</f>
        <v>39800000</v>
      </c>
      <c r="G47" s="47">
        <f t="shared" si="28"/>
        <v>39800000</v>
      </c>
      <c r="H47" s="47">
        <f t="shared" si="28"/>
        <v>39800000</v>
      </c>
      <c r="I47" s="47">
        <f t="shared" si="28"/>
        <v>39800000</v>
      </c>
      <c r="J47" s="47">
        <f t="shared" si="28"/>
        <v>39800000</v>
      </c>
      <c r="K47" s="47">
        <f t="shared" si="28"/>
        <v>39800000</v>
      </c>
      <c r="L47" s="47">
        <f t="shared" si="28"/>
        <v>39800000</v>
      </c>
      <c r="M47" s="47">
        <f aca="true" t="shared" si="29" ref="M47:X47">L47+M22-M30</f>
        <v>39800000</v>
      </c>
      <c r="N47" s="47">
        <f t="shared" si="29"/>
        <v>39800000</v>
      </c>
      <c r="O47" s="47">
        <f t="shared" si="29"/>
        <v>39800000</v>
      </c>
      <c r="P47" s="47">
        <f t="shared" si="29"/>
        <v>39800000</v>
      </c>
      <c r="Q47" s="47">
        <f t="shared" si="29"/>
        <v>39800000</v>
      </c>
      <c r="R47" s="47">
        <f t="shared" si="29"/>
        <v>39800000</v>
      </c>
      <c r="S47" s="47">
        <f t="shared" si="29"/>
        <v>39800000</v>
      </c>
      <c r="T47" s="47">
        <f t="shared" si="29"/>
        <v>39800000</v>
      </c>
      <c r="U47" s="47">
        <f t="shared" si="29"/>
        <v>39800000</v>
      </c>
      <c r="V47" s="47">
        <f t="shared" si="29"/>
        <v>39800000</v>
      </c>
      <c r="W47" s="47">
        <f t="shared" si="29"/>
        <v>39800000</v>
      </c>
      <c r="X47" s="47">
        <f t="shared" si="29"/>
        <v>39800000</v>
      </c>
    </row>
    <row r="48" spans="1:24" ht="12.75">
      <c r="A48" s="27"/>
      <c r="B48" s="32"/>
      <c r="C48" s="35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1:24" ht="12.75">
      <c r="A49" s="27"/>
      <c r="B49" s="32"/>
      <c r="C49" s="34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</row>
    <row r="50" spans="1:24" ht="37.5" customHeight="1">
      <c r="A50" s="30" t="s">
        <v>35</v>
      </c>
      <c r="B50" s="168" t="s">
        <v>68</v>
      </c>
      <c r="C50" s="178"/>
      <c r="D50" s="41">
        <f>(D12+D30+D13+D18)/D6</f>
        <v>0.044893170808084484</v>
      </c>
      <c r="E50" s="41">
        <f>(E12+E30+E13+E18)/E6</f>
        <v>0.05338621525100182</v>
      </c>
      <c r="F50" s="41">
        <f>(F12+F30+F13+F18)/F6</f>
        <v>0.05777725297141037</v>
      </c>
      <c r="G50" s="41">
        <f>(G12+G30+G13+G18)/G6</f>
        <v>0.05844177974013576</v>
      </c>
      <c r="H50" s="42" t="s">
        <v>45</v>
      </c>
      <c r="I50" s="42" t="s">
        <v>45</v>
      </c>
      <c r="J50" s="42" t="s">
        <v>45</v>
      </c>
      <c r="K50" s="42" t="s">
        <v>45</v>
      </c>
      <c r="L50" s="42" t="s">
        <v>45</v>
      </c>
      <c r="M50" s="42" t="s">
        <v>45</v>
      </c>
      <c r="N50" s="42" t="s">
        <v>45</v>
      </c>
      <c r="O50" s="42" t="s">
        <v>45</v>
      </c>
      <c r="P50" s="42" t="s">
        <v>45</v>
      </c>
      <c r="Q50" s="42" t="s">
        <v>45</v>
      </c>
      <c r="R50" s="42" t="s">
        <v>45</v>
      </c>
      <c r="S50" s="42" t="s">
        <v>45</v>
      </c>
      <c r="T50" s="42" t="s">
        <v>45</v>
      </c>
      <c r="U50" s="42" t="s">
        <v>45</v>
      </c>
      <c r="V50" s="42" t="s">
        <v>45</v>
      </c>
      <c r="W50" s="42" t="s">
        <v>45</v>
      </c>
      <c r="X50" s="42" t="s">
        <v>45</v>
      </c>
    </row>
    <row r="51" spans="1:24" ht="50.25" customHeight="1">
      <c r="A51" s="30" t="s">
        <v>36</v>
      </c>
      <c r="B51" s="168" t="s">
        <v>69</v>
      </c>
      <c r="C51" s="178"/>
      <c r="D51" s="41">
        <f>D47/D6</f>
        <v>0.3963060357484629</v>
      </c>
      <c r="E51" s="41">
        <f>E47/E6</f>
        <v>0.38927346737809804</v>
      </c>
      <c r="F51" s="41">
        <f>F47/F6</f>
        <v>0.40548193225884727</v>
      </c>
      <c r="G51" s="41">
        <f>G47/G6</f>
        <v>0.41148159475900253</v>
      </c>
      <c r="H51" s="42" t="s">
        <v>45</v>
      </c>
      <c r="I51" s="42" t="s">
        <v>45</v>
      </c>
      <c r="J51" s="42" t="s">
        <v>45</v>
      </c>
      <c r="K51" s="42" t="s">
        <v>45</v>
      </c>
      <c r="L51" s="42" t="s">
        <v>45</v>
      </c>
      <c r="M51" s="42" t="s">
        <v>45</v>
      </c>
      <c r="N51" s="42" t="s">
        <v>45</v>
      </c>
      <c r="O51" s="42" t="s">
        <v>45</v>
      </c>
      <c r="P51" s="42" t="s">
        <v>45</v>
      </c>
      <c r="Q51" s="42" t="s">
        <v>45</v>
      </c>
      <c r="R51" s="42" t="s">
        <v>45</v>
      </c>
      <c r="S51" s="42" t="s">
        <v>45</v>
      </c>
      <c r="T51" s="42" t="s">
        <v>45</v>
      </c>
      <c r="U51" s="42" t="s">
        <v>45</v>
      </c>
      <c r="V51" s="42" t="s">
        <v>45</v>
      </c>
      <c r="W51" s="42" t="s">
        <v>45</v>
      </c>
      <c r="X51" s="42" t="s">
        <v>45</v>
      </c>
    </row>
    <row r="52" spans="1:24" ht="60.75" customHeight="1">
      <c r="A52" s="36" t="s">
        <v>85</v>
      </c>
      <c r="B52" s="168" t="s">
        <v>99</v>
      </c>
      <c r="C52" s="178"/>
      <c r="D52" s="117">
        <f>(D30+D12+D13+D18)/D6</f>
        <v>0.044893170808084484</v>
      </c>
      <c r="E52" s="117">
        <f>(E30+E12+E13+E18)/E6</f>
        <v>0.05338621525100182</v>
      </c>
      <c r="F52" s="117">
        <f>(F30+F12+F13+F18)/F6</f>
        <v>0.05777725297141037</v>
      </c>
      <c r="G52" s="117">
        <f>(G30+G12+G13+G18)/G6</f>
        <v>0.05844177974013576</v>
      </c>
      <c r="H52" s="117">
        <f aca="true" t="shared" si="30" ref="H52:X52">(H30+H12+H13+H18+H77)/H6</f>
        <v>0.06088513971030414</v>
      </c>
      <c r="I52" s="117">
        <f t="shared" si="30"/>
        <v>0.05546627140172115</v>
      </c>
      <c r="J52" s="117">
        <f t="shared" si="30"/>
        <v>0.05546627140172115</v>
      </c>
      <c r="K52" s="117">
        <f t="shared" si="30"/>
        <v>0.05546627140172115</v>
      </c>
      <c r="L52" s="117">
        <f t="shared" si="30"/>
        <v>0.05546627140172115</v>
      </c>
      <c r="M52" s="117">
        <f t="shared" si="30"/>
        <v>0.05546627140172115</v>
      </c>
      <c r="N52" s="117">
        <f t="shared" si="30"/>
        <v>0.05546627140172115</v>
      </c>
      <c r="O52" s="117">
        <f t="shared" si="30"/>
        <v>0.05546627140172115</v>
      </c>
      <c r="P52" s="117">
        <f t="shared" si="30"/>
        <v>0.05546627140172115</v>
      </c>
      <c r="Q52" s="117">
        <f t="shared" si="30"/>
        <v>0.05546627140172115</v>
      </c>
      <c r="R52" s="117">
        <f t="shared" si="30"/>
        <v>0.05546627140172115</v>
      </c>
      <c r="S52" s="117">
        <f t="shared" si="30"/>
        <v>0.05546627140172115</v>
      </c>
      <c r="T52" s="117">
        <f t="shared" si="30"/>
        <v>0.05546627140172115</v>
      </c>
      <c r="U52" s="117">
        <f t="shared" si="30"/>
        <v>0.05546627140172115</v>
      </c>
      <c r="V52" s="117">
        <f t="shared" si="30"/>
        <v>0.05546627140172115</v>
      </c>
      <c r="W52" s="117">
        <f t="shared" si="30"/>
        <v>0.05546616801438606</v>
      </c>
      <c r="X52" s="117">
        <f t="shared" si="30"/>
        <v>0.055397446452752616</v>
      </c>
    </row>
    <row r="53" spans="1:24" ht="51" customHeight="1">
      <c r="A53" s="36" t="s">
        <v>86</v>
      </c>
      <c r="B53" s="153" t="s">
        <v>94</v>
      </c>
      <c r="C53" s="154"/>
      <c r="D53" s="43" t="s">
        <v>45</v>
      </c>
      <c r="E53" s="117">
        <f>(D66+Startowa!D16+Startowa!C16)/3</f>
        <v>0.08561148155123217</v>
      </c>
      <c r="F53" s="117">
        <f>(E66+D66+Startowa!D16)/3</f>
        <v>0.05299680128781222</v>
      </c>
      <c r="G53" s="117">
        <f>(F66+E66+D66)/3</f>
        <v>0.049995163057615366</v>
      </c>
      <c r="H53" s="117">
        <f aca="true" t="shared" si="31" ref="H53:X53">(E66+F66+G66)/3</f>
        <v>0.06130106315564273</v>
      </c>
      <c r="I53" s="117">
        <f t="shared" si="31"/>
        <v>0.07368585833998209</v>
      </c>
      <c r="J53" s="117">
        <f t="shared" si="31"/>
        <v>0.07226688063957672</v>
      </c>
      <c r="K53" s="117">
        <f t="shared" si="31"/>
        <v>0.0670156706044766</v>
      </c>
      <c r="L53" s="117">
        <f t="shared" si="31"/>
        <v>0.0670156706044766</v>
      </c>
      <c r="M53" s="117">
        <f t="shared" si="31"/>
        <v>0.0670156706044766</v>
      </c>
      <c r="N53" s="117">
        <f t="shared" si="31"/>
        <v>0.0670156706044766</v>
      </c>
      <c r="O53" s="117">
        <f t="shared" si="31"/>
        <v>0.0670156706044766</v>
      </c>
      <c r="P53" s="117">
        <f t="shared" si="31"/>
        <v>0.0670156706044766</v>
      </c>
      <c r="Q53" s="117">
        <f t="shared" si="31"/>
        <v>0.0670156706044766</v>
      </c>
      <c r="R53" s="117">
        <f t="shared" si="31"/>
        <v>0.0670156706044766</v>
      </c>
      <c r="S53" s="117">
        <f t="shared" si="31"/>
        <v>0.0670156706044766</v>
      </c>
      <c r="T53" s="117">
        <f t="shared" si="31"/>
        <v>0.0670156706044766</v>
      </c>
      <c r="U53" s="117">
        <f t="shared" si="31"/>
        <v>0.0670156706044766</v>
      </c>
      <c r="V53" s="117">
        <f t="shared" si="31"/>
        <v>0.0670156706044766</v>
      </c>
      <c r="W53" s="117">
        <f t="shared" si="31"/>
        <v>0.0670156706044766</v>
      </c>
      <c r="X53" s="117">
        <f t="shared" si="31"/>
        <v>0.0670156706044766</v>
      </c>
    </row>
    <row r="54" spans="1:24" ht="54" customHeight="1">
      <c r="A54" s="37" t="s">
        <v>87</v>
      </c>
      <c r="B54" s="152" t="s">
        <v>95</v>
      </c>
      <c r="C54" s="152"/>
      <c r="D54" s="43" t="s">
        <v>45</v>
      </c>
      <c r="E54" s="117">
        <f aca="true" t="shared" si="32" ref="E54:X54">E53-E52</f>
        <v>0.03222526630023036</v>
      </c>
      <c r="F54" s="117">
        <f t="shared" si="32"/>
        <v>-0.004780451683598148</v>
      </c>
      <c r="G54" s="117">
        <f t="shared" si="32"/>
        <v>-0.008446616682520391</v>
      </c>
      <c r="H54" s="117">
        <f t="shared" si="32"/>
        <v>0.000415923445338591</v>
      </c>
      <c r="I54" s="117">
        <f t="shared" si="32"/>
        <v>0.018219586938260944</v>
      </c>
      <c r="J54" s="117">
        <f t="shared" si="32"/>
        <v>0.01680060923785557</v>
      </c>
      <c r="K54" s="117">
        <f t="shared" si="32"/>
        <v>0.011549399202755446</v>
      </c>
      <c r="L54" s="117">
        <f t="shared" si="32"/>
        <v>0.011549399202755446</v>
      </c>
      <c r="M54" s="117">
        <f t="shared" si="32"/>
        <v>0.011549399202755446</v>
      </c>
      <c r="N54" s="117">
        <f t="shared" si="32"/>
        <v>0.011549399202755446</v>
      </c>
      <c r="O54" s="117">
        <f t="shared" si="32"/>
        <v>0.011549399202755446</v>
      </c>
      <c r="P54" s="117">
        <f t="shared" si="32"/>
        <v>0.011549399202755446</v>
      </c>
      <c r="Q54" s="117">
        <f t="shared" si="32"/>
        <v>0.011549399202755446</v>
      </c>
      <c r="R54" s="117">
        <f t="shared" si="32"/>
        <v>0.011549399202755446</v>
      </c>
      <c r="S54" s="117">
        <f t="shared" si="32"/>
        <v>0.011549399202755446</v>
      </c>
      <c r="T54" s="117">
        <f t="shared" si="32"/>
        <v>0.011549399202755446</v>
      </c>
      <c r="U54" s="117">
        <f t="shared" si="32"/>
        <v>0.011549399202755446</v>
      </c>
      <c r="V54" s="117">
        <f t="shared" si="32"/>
        <v>0.011549399202755446</v>
      </c>
      <c r="W54" s="117">
        <f t="shared" si="32"/>
        <v>0.011549502590090535</v>
      </c>
      <c r="X54" s="117">
        <f t="shared" si="32"/>
        <v>0.011618224151723977</v>
      </c>
    </row>
    <row r="55" spans="1:24" ht="36" customHeight="1">
      <c r="A55" s="165" t="s">
        <v>88</v>
      </c>
      <c r="B55" s="156" t="s">
        <v>84</v>
      </c>
      <c r="C55" s="128" t="s">
        <v>8</v>
      </c>
      <c r="D55" s="49">
        <f>IF(D30&gt;0,IF(D23&gt;(D30),(D30),D23),0)</f>
        <v>0</v>
      </c>
      <c r="E55" s="49">
        <f>IF(E30&gt;0,IF(E23&gt;(E30),(E30),E23),0)</f>
        <v>0</v>
      </c>
      <c r="F55" s="49">
        <f>IF(F30&gt;0,IF(F23&gt;(F30),(F30),F23),0)</f>
        <v>0</v>
      </c>
      <c r="G55" s="49">
        <f aca="true" t="shared" si="33" ref="G55:L55">IF(G30&gt;0,IF(G23&gt;(G30),(G30),G23),0)</f>
        <v>0</v>
      </c>
      <c r="H55" s="49">
        <f t="shared" si="33"/>
        <v>0</v>
      </c>
      <c r="I55" s="49">
        <f t="shared" si="33"/>
        <v>0</v>
      </c>
      <c r="J55" s="49">
        <f t="shared" si="33"/>
        <v>0</v>
      </c>
      <c r="K55" s="49">
        <f t="shared" si="33"/>
        <v>0</v>
      </c>
      <c r="L55" s="49">
        <f t="shared" si="33"/>
        <v>0</v>
      </c>
      <c r="M55" s="49">
        <f aca="true" t="shared" si="34" ref="M55:X55">IF(M30&gt;0,IF(M23&gt;(M30),(M30),M23),0)</f>
        <v>0</v>
      </c>
      <c r="N55" s="49">
        <f t="shared" si="34"/>
        <v>0</v>
      </c>
      <c r="O55" s="49">
        <f t="shared" si="34"/>
        <v>0</v>
      </c>
      <c r="P55" s="49">
        <f t="shared" si="34"/>
        <v>0</v>
      </c>
      <c r="Q55" s="49">
        <f t="shared" si="34"/>
        <v>0</v>
      </c>
      <c r="R55" s="49">
        <f t="shared" si="34"/>
        <v>0</v>
      </c>
      <c r="S55" s="49">
        <f t="shared" si="34"/>
        <v>0</v>
      </c>
      <c r="T55" s="49">
        <f t="shared" si="34"/>
        <v>0</v>
      </c>
      <c r="U55" s="49">
        <f t="shared" si="34"/>
        <v>0</v>
      </c>
      <c r="V55" s="49">
        <f t="shared" si="34"/>
        <v>0</v>
      </c>
      <c r="W55" s="49">
        <f t="shared" si="34"/>
        <v>0</v>
      </c>
      <c r="X55" s="49">
        <f t="shared" si="34"/>
        <v>0</v>
      </c>
    </row>
    <row r="56" spans="1:24" ht="36" customHeight="1">
      <c r="A56" s="165"/>
      <c r="B56" s="157"/>
      <c r="C56" s="128" t="s">
        <v>9</v>
      </c>
      <c r="D56" s="49">
        <f aca="true" t="shared" si="35" ref="D56:X56">IF((D55+D30)&gt;0,IF(D24&gt;(D30-D55),(D30-D55),D24),0)</f>
        <v>0</v>
      </c>
      <c r="E56" s="49">
        <f t="shared" si="35"/>
        <v>0</v>
      </c>
      <c r="F56" s="49">
        <f t="shared" si="35"/>
        <v>0</v>
      </c>
      <c r="G56" s="49">
        <f t="shared" si="35"/>
        <v>0</v>
      </c>
      <c r="H56" s="49">
        <f t="shared" si="35"/>
        <v>0</v>
      </c>
      <c r="I56" s="49">
        <f t="shared" si="35"/>
        <v>0</v>
      </c>
      <c r="J56" s="49">
        <f t="shared" si="35"/>
        <v>0</v>
      </c>
      <c r="K56" s="49">
        <f t="shared" si="35"/>
        <v>0</v>
      </c>
      <c r="L56" s="49">
        <f t="shared" si="35"/>
        <v>0</v>
      </c>
      <c r="M56" s="49">
        <f t="shared" si="35"/>
        <v>0</v>
      </c>
      <c r="N56" s="49">
        <f t="shared" si="35"/>
        <v>0</v>
      </c>
      <c r="O56" s="49">
        <f t="shared" si="35"/>
        <v>0</v>
      </c>
      <c r="P56" s="49">
        <f t="shared" si="35"/>
        <v>0</v>
      </c>
      <c r="Q56" s="49">
        <f t="shared" si="35"/>
        <v>0</v>
      </c>
      <c r="R56" s="49">
        <f t="shared" si="35"/>
        <v>0</v>
      </c>
      <c r="S56" s="49">
        <f t="shared" si="35"/>
        <v>0</v>
      </c>
      <c r="T56" s="49">
        <f t="shared" si="35"/>
        <v>0</v>
      </c>
      <c r="U56" s="49">
        <f t="shared" si="35"/>
        <v>0</v>
      </c>
      <c r="V56" s="49">
        <f t="shared" si="35"/>
        <v>0</v>
      </c>
      <c r="W56" s="49">
        <f t="shared" si="35"/>
        <v>0</v>
      </c>
      <c r="X56" s="49">
        <f t="shared" si="35"/>
        <v>0</v>
      </c>
    </row>
    <row r="57" spans="1:24" ht="36" customHeight="1">
      <c r="A57" s="165"/>
      <c r="B57" s="157"/>
      <c r="C57" s="128" t="s">
        <v>10</v>
      </c>
      <c r="D57" s="49">
        <f aca="true" t="shared" si="36" ref="D57:X57">IF((D55+D30+D56)&gt;0,IF(D25&gt;(D30-D55-D56),(D30-D55-D56),D25),0)</f>
        <v>2400000</v>
      </c>
      <c r="E57" s="49">
        <f t="shared" si="36"/>
        <v>3000000</v>
      </c>
      <c r="F57" s="49">
        <f t="shared" si="36"/>
        <v>3200000</v>
      </c>
      <c r="G57" s="49">
        <f t="shared" si="36"/>
        <v>3200000</v>
      </c>
      <c r="H57" s="49">
        <f t="shared" si="36"/>
        <v>3500000</v>
      </c>
      <c r="I57" s="49">
        <f t="shared" si="36"/>
        <v>3500000</v>
      </c>
      <c r="J57" s="49">
        <f t="shared" si="36"/>
        <v>3500000</v>
      </c>
      <c r="K57" s="49">
        <f t="shared" si="36"/>
        <v>3500000</v>
      </c>
      <c r="L57" s="49">
        <f t="shared" si="36"/>
        <v>3500000</v>
      </c>
      <c r="M57" s="49">
        <f t="shared" si="36"/>
        <v>3500000</v>
      </c>
      <c r="N57" s="49">
        <f t="shared" si="36"/>
        <v>3500000</v>
      </c>
      <c r="O57" s="49">
        <f t="shared" si="36"/>
        <v>3500000</v>
      </c>
      <c r="P57" s="49">
        <f t="shared" si="36"/>
        <v>3500000</v>
      </c>
      <c r="Q57" s="49">
        <f t="shared" si="36"/>
        <v>3500000</v>
      </c>
      <c r="R57" s="49">
        <f t="shared" si="36"/>
        <v>3500000</v>
      </c>
      <c r="S57" s="49">
        <f t="shared" si="36"/>
        <v>3500000</v>
      </c>
      <c r="T57" s="49">
        <f t="shared" si="36"/>
        <v>3500000</v>
      </c>
      <c r="U57" s="49">
        <f t="shared" si="36"/>
        <v>3500000</v>
      </c>
      <c r="V57" s="49">
        <f t="shared" si="36"/>
        <v>3500000</v>
      </c>
      <c r="W57" s="49">
        <f t="shared" si="36"/>
        <v>3500000</v>
      </c>
      <c r="X57" s="49">
        <f t="shared" si="36"/>
        <v>3500000</v>
      </c>
    </row>
    <row r="58" spans="1:24" ht="36" customHeight="1">
      <c r="A58" s="165"/>
      <c r="B58" s="157"/>
      <c r="C58" s="128" t="s">
        <v>11</v>
      </c>
      <c r="D58" s="49">
        <f aca="true" t="shared" si="37" ref="D58:X58">IF((D55+D30+D56+D57)&gt;0,IF(D26&gt;(D30-D55-D56-D57),(D30-D55-D56-D57),D26),0)</f>
        <v>0</v>
      </c>
      <c r="E58" s="49">
        <f t="shared" si="37"/>
        <v>0</v>
      </c>
      <c r="F58" s="49">
        <f t="shared" si="37"/>
        <v>0</v>
      </c>
      <c r="G58" s="49">
        <f t="shared" si="37"/>
        <v>0</v>
      </c>
      <c r="H58" s="49">
        <f t="shared" si="37"/>
        <v>0</v>
      </c>
      <c r="I58" s="49">
        <f t="shared" si="37"/>
        <v>0</v>
      </c>
      <c r="J58" s="49">
        <f t="shared" si="37"/>
        <v>0</v>
      </c>
      <c r="K58" s="49">
        <f t="shared" si="37"/>
        <v>0</v>
      </c>
      <c r="L58" s="49">
        <f t="shared" si="37"/>
        <v>0</v>
      </c>
      <c r="M58" s="49">
        <f t="shared" si="37"/>
        <v>0</v>
      </c>
      <c r="N58" s="49">
        <f t="shared" si="37"/>
        <v>0</v>
      </c>
      <c r="O58" s="49">
        <f t="shared" si="37"/>
        <v>0</v>
      </c>
      <c r="P58" s="49">
        <f t="shared" si="37"/>
        <v>0</v>
      </c>
      <c r="Q58" s="49">
        <f t="shared" si="37"/>
        <v>0</v>
      </c>
      <c r="R58" s="49">
        <f t="shared" si="37"/>
        <v>0</v>
      </c>
      <c r="S58" s="49">
        <f t="shared" si="37"/>
        <v>0</v>
      </c>
      <c r="T58" s="49">
        <f t="shared" si="37"/>
        <v>0</v>
      </c>
      <c r="U58" s="49">
        <f t="shared" si="37"/>
        <v>0</v>
      </c>
      <c r="V58" s="49">
        <f t="shared" si="37"/>
        <v>0</v>
      </c>
      <c r="W58" s="49">
        <f t="shared" si="37"/>
        <v>0</v>
      </c>
      <c r="X58" s="49">
        <f t="shared" si="37"/>
        <v>0</v>
      </c>
    </row>
    <row r="59" spans="1:24" ht="52.5" customHeight="1">
      <c r="A59" s="165"/>
      <c r="B59" s="157"/>
      <c r="C59" s="128" t="s">
        <v>12</v>
      </c>
      <c r="D59" s="49">
        <f aca="true" t="shared" si="38" ref="D59:X59">IF((D55+D30+D56+D57+D58)&gt;0,IF(D27&gt;(D30-D55-D56-D57-D58),(D30-D55-D56-D57-D58),D27),0)</f>
        <v>0</v>
      </c>
      <c r="E59" s="49">
        <f t="shared" si="38"/>
        <v>0</v>
      </c>
      <c r="F59" s="49">
        <f t="shared" si="38"/>
        <v>0</v>
      </c>
      <c r="G59" s="49">
        <f t="shared" si="38"/>
        <v>0</v>
      </c>
      <c r="H59" s="49">
        <f t="shared" si="38"/>
        <v>0</v>
      </c>
      <c r="I59" s="49">
        <f t="shared" si="38"/>
        <v>0</v>
      </c>
      <c r="J59" s="49">
        <f t="shared" si="38"/>
        <v>0</v>
      </c>
      <c r="K59" s="49">
        <f t="shared" si="38"/>
        <v>0</v>
      </c>
      <c r="L59" s="49">
        <f t="shared" si="38"/>
        <v>0</v>
      </c>
      <c r="M59" s="49">
        <f t="shared" si="38"/>
        <v>0</v>
      </c>
      <c r="N59" s="49">
        <f t="shared" si="38"/>
        <v>0</v>
      </c>
      <c r="O59" s="49">
        <f t="shared" si="38"/>
        <v>0</v>
      </c>
      <c r="P59" s="49">
        <f t="shared" si="38"/>
        <v>0</v>
      </c>
      <c r="Q59" s="49">
        <f t="shared" si="38"/>
        <v>0</v>
      </c>
      <c r="R59" s="49">
        <f t="shared" si="38"/>
        <v>0</v>
      </c>
      <c r="S59" s="49">
        <f t="shared" si="38"/>
        <v>0</v>
      </c>
      <c r="T59" s="49">
        <f t="shared" si="38"/>
        <v>0</v>
      </c>
      <c r="U59" s="49">
        <f t="shared" si="38"/>
        <v>0</v>
      </c>
      <c r="V59" s="49">
        <f t="shared" si="38"/>
        <v>0</v>
      </c>
      <c r="W59" s="49">
        <f t="shared" si="38"/>
        <v>0</v>
      </c>
      <c r="X59" s="49">
        <f t="shared" si="38"/>
        <v>0</v>
      </c>
    </row>
    <row r="60" spans="1:24" ht="52.5" customHeight="1" thickBot="1">
      <c r="A60" s="166"/>
      <c r="B60" s="157"/>
      <c r="C60" s="129" t="s">
        <v>13</v>
      </c>
      <c r="D60" s="49">
        <f aca="true" t="shared" si="39" ref="D60:X60">IF((D55+D30+D56+D57+D58+D59)&gt;0,IF(D28&gt;(D30-D55-D56-D57-D58-D59),(D30-D55-D56-D57-D58-D59),D28),0)</f>
        <v>0</v>
      </c>
      <c r="E60" s="49">
        <f t="shared" si="39"/>
        <v>0</v>
      </c>
      <c r="F60" s="49">
        <f t="shared" si="39"/>
        <v>0</v>
      </c>
      <c r="G60" s="49">
        <f t="shared" si="39"/>
        <v>0</v>
      </c>
      <c r="H60" s="49">
        <f t="shared" si="39"/>
        <v>0</v>
      </c>
      <c r="I60" s="49">
        <f t="shared" si="39"/>
        <v>0</v>
      </c>
      <c r="J60" s="49">
        <f t="shared" si="39"/>
        <v>0</v>
      </c>
      <c r="K60" s="49">
        <f t="shared" si="39"/>
        <v>0</v>
      </c>
      <c r="L60" s="49">
        <f t="shared" si="39"/>
        <v>0</v>
      </c>
      <c r="M60" s="49">
        <f t="shared" si="39"/>
        <v>0</v>
      </c>
      <c r="N60" s="49">
        <f t="shared" si="39"/>
        <v>0</v>
      </c>
      <c r="O60" s="49">
        <f t="shared" si="39"/>
        <v>0</v>
      </c>
      <c r="P60" s="49">
        <f t="shared" si="39"/>
        <v>0</v>
      </c>
      <c r="Q60" s="49">
        <f t="shared" si="39"/>
        <v>0</v>
      </c>
      <c r="R60" s="49">
        <f t="shared" si="39"/>
        <v>0</v>
      </c>
      <c r="S60" s="49">
        <f t="shared" si="39"/>
        <v>0</v>
      </c>
      <c r="T60" s="49">
        <f t="shared" si="39"/>
        <v>0</v>
      </c>
      <c r="U60" s="49">
        <f t="shared" si="39"/>
        <v>0</v>
      </c>
      <c r="V60" s="49">
        <f t="shared" si="39"/>
        <v>0</v>
      </c>
      <c r="W60" s="49">
        <f t="shared" si="39"/>
        <v>0</v>
      </c>
      <c r="X60" s="49">
        <f t="shared" si="39"/>
        <v>0</v>
      </c>
    </row>
    <row r="61" spans="1:24" ht="31.5" customHeight="1" thickBot="1">
      <c r="A61" s="167"/>
      <c r="B61" s="158"/>
      <c r="C61" s="130" t="s">
        <v>104</v>
      </c>
      <c r="D61" s="49">
        <f aca="true" t="shared" si="40" ref="D61:X61">IF((D55+D56+D30+D57+D58+D59+D60)&gt;0,IF(D43&gt;(D30-D55-D56-D57-D58-D59-D60),(D30-D56-D55-D57-D58-D59-D60),D43),0)</f>
        <v>0</v>
      </c>
      <c r="E61" s="49">
        <f t="shared" si="40"/>
        <v>0</v>
      </c>
      <c r="F61" s="49">
        <f t="shared" si="40"/>
        <v>0</v>
      </c>
      <c r="G61" s="49">
        <f t="shared" si="40"/>
        <v>0</v>
      </c>
      <c r="H61" s="49">
        <f t="shared" si="40"/>
        <v>0</v>
      </c>
      <c r="I61" s="49">
        <f t="shared" si="40"/>
        <v>0</v>
      </c>
      <c r="J61" s="49">
        <f t="shared" si="40"/>
        <v>0</v>
      </c>
      <c r="K61" s="49">
        <f t="shared" si="40"/>
        <v>0</v>
      </c>
      <c r="L61" s="49">
        <f t="shared" si="40"/>
        <v>0</v>
      </c>
      <c r="M61" s="49">
        <f t="shared" si="40"/>
        <v>0</v>
      </c>
      <c r="N61" s="49">
        <f t="shared" si="40"/>
        <v>0</v>
      </c>
      <c r="O61" s="49">
        <f t="shared" si="40"/>
        <v>0</v>
      </c>
      <c r="P61" s="49">
        <f t="shared" si="40"/>
        <v>0</v>
      </c>
      <c r="Q61" s="49">
        <f t="shared" si="40"/>
        <v>0</v>
      </c>
      <c r="R61" s="49">
        <f t="shared" si="40"/>
        <v>0</v>
      </c>
      <c r="S61" s="49">
        <f t="shared" si="40"/>
        <v>0</v>
      </c>
      <c r="T61" s="49">
        <f t="shared" si="40"/>
        <v>0</v>
      </c>
      <c r="U61" s="49">
        <f t="shared" si="40"/>
        <v>0</v>
      </c>
      <c r="V61" s="49">
        <f t="shared" si="40"/>
        <v>0</v>
      </c>
      <c r="W61" s="49">
        <f t="shared" si="40"/>
        <v>0</v>
      </c>
      <c r="X61" s="49">
        <f t="shared" si="40"/>
        <v>0</v>
      </c>
    </row>
    <row r="62" spans="1:22" ht="12.75">
      <c r="A62" s="38"/>
      <c r="B62" s="38"/>
      <c r="C62" s="38" t="s">
        <v>123</v>
      </c>
      <c r="D62" s="38"/>
      <c r="E62" s="38"/>
      <c r="F62" s="38"/>
      <c r="G62" s="38"/>
      <c r="H62" s="38"/>
      <c r="I62" s="38"/>
      <c r="J62" s="38"/>
      <c r="K62" s="38"/>
      <c r="L62" s="38"/>
      <c r="M62" s="113"/>
      <c r="N62" s="114"/>
      <c r="O62" s="114"/>
      <c r="P62" s="114"/>
      <c r="Q62" s="114"/>
      <c r="R62" s="114"/>
      <c r="S62" s="114"/>
      <c r="T62" s="114"/>
      <c r="U62" s="114"/>
      <c r="V62" s="114"/>
    </row>
    <row r="63" spans="1:22" ht="12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113"/>
      <c r="N63" s="114"/>
      <c r="O63" s="114"/>
      <c r="P63" s="114"/>
      <c r="Q63" s="114"/>
      <c r="R63" s="114"/>
      <c r="S63" s="114"/>
      <c r="T63" s="114"/>
      <c r="U63" s="114"/>
      <c r="V63" s="114"/>
    </row>
    <row r="64" spans="1:22" ht="13.5" thickBo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113"/>
      <c r="N64" s="114"/>
      <c r="O64" s="114"/>
      <c r="P64" s="114"/>
      <c r="Q64" s="114"/>
      <c r="R64" s="114"/>
      <c r="S64" s="114"/>
      <c r="T64" s="114"/>
      <c r="U64" s="114"/>
      <c r="V64" s="114"/>
    </row>
    <row r="65" spans="1:22" ht="13.5" thickBot="1">
      <c r="A65" s="162" t="s">
        <v>37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13"/>
      <c r="N65" s="114"/>
      <c r="O65" s="114"/>
      <c r="P65" s="114"/>
      <c r="Q65" s="114"/>
      <c r="R65" s="114"/>
      <c r="S65" s="114"/>
      <c r="T65" s="114"/>
      <c r="U65" s="114"/>
      <c r="V65" s="114"/>
    </row>
    <row r="66" spans="1:24" ht="27" customHeight="1">
      <c r="A66" s="39" t="s">
        <v>61</v>
      </c>
      <c r="B66" s="164" t="s">
        <v>98</v>
      </c>
      <c r="C66" s="164"/>
      <c r="D66" s="118">
        <f aca="true" t="shared" si="41" ref="D66:L66">(D7+D9-D11)/D6</f>
        <v>0.048851600415694876</v>
      </c>
      <c r="E66" s="118">
        <f t="shared" si="41"/>
        <v>0.029861285051458537</v>
      </c>
      <c r="F66" s="118">
        <f t="shared" si="41"/>
        <v>0.0712726037056927</v>
      </c>
      <c r="G66" s="118">
        <f t="shared" si="41"/>
        <v>0.08276930070977695</v>
      </c>
      <c r="H66" s="118">
        <f t="shared" si="41"/>
        <v>0.0670156706044766</v>
      </c>
      <c r="I66" s="118">
        <f t="shared" si="41"/>
        <v>0.0670156706044766</v>
      </c>
      <c r="J66" s="118">
        <f t="shared" si="41"/>
        <v>0.0670156706044766</v>
      </c>
      <c r="K66" s="118">
        <f t="shared" si="41"/>
        <v>0.0670156706044766</v>
      </c>
      <c r="L66" s="118">
        <f t="shared" si="41"/>
        <v>0.0670156706044766</v>
      </c>
      <c r="M66" s="118">
        <f aca="true" t="shared" si="42" ref="M66:X66">(M7+M9-M11)/M6</f>
        <v>0.0670156706044766</v>
      </c>
      <c r="N66" s="118">
        <f t="shared" si="42"/>
        <v>0.0670156706044766</v>
      </c>
      <c r="O66" s="118">
        <f t="shared" si="42"/>
        <v>0.0670156706044766</v>
      </c>
      <c r="P66" s="118">
        <f t="shared" si="42"/>
        <v>0.0670156706044766</v>
      </c>
      <c r="Q66" s="118">
        <f t="shared" si="42"/>
        <v>0.0670156706044766</v>
      </c>
      <c r="R66" s="118">
        <f t="shared" si="42"/>
        <v>0.0670156706044766</v>
      </c>
      <c r="S66" s="118">
        <f t="shared" si="42"/>
        <v>0.0670156706044766</v>
      </c>
      <c r="T66" s="118">
        <f t="shared" si="42"/>
        <v>0.0670156706044766</v>
      </c>
      <c r="U66" s="118">
        <f t="shared" si="42"/>
        <v>0.0670156706044766</v>
      </c>
      <c r="V66" s="118">
        <f t="shared" si="42"/>
        <v>0.0670156706044766</v>
      </c>
      <c r="W66" s="118">
        <f t="shared" si="42"/>
        <v>0.0670156706044766</v>
      </c>
      <c r="X66" s="118">
        <f t="shared" si="42"/>
        <v>0.0670156706044766</v>
      </c>
    </row>
    <row r="67" spans="1:24" ht="27" customHeight="1">
      <c r="A67" s="39" t="s">
        <v>62</v>
      </c>
      <c r="B67" s="184" t="s">
        <v>49</v>
      </c>
      <c r="C67" s="184"/>
      <c r="D67" s="53">
        <f aca="true" t="shared" si="43" ref="D67:L67">D6+D21-D10-D29</f>
        <v>4778608</v>
      </c>
      <c r="E67" s="53">
        <f t="shared" si="43"/>
        <v>-0.3700000047683716</v>
      </c>
      <c r="F67" s="53">
        <f t="shared" si="43"/>
        <v>0.019999995827674866</v>
      </c>
      <c r="G67" s="53">
        <f t="shared" si="43"/>
        <v>-0.26000000536441803</v>
      </c>
      <c r="H67" s="53">
        <f t="shared" si="43"/>
        <v>0</v>
      </c>
      <c r="I67" s="53">
        <f t="shared" si="43"/>
        <v>0</v>
      </c>
      <c r="J67" s="53">
        <f t="shared" si="43"/>
        <v>0</v>
      </c>
      <c r="K67" s="53">
        <f t="shared" si="43"/>
        <v>0</v>
      </c>
      <c r="L67" s="53">
        <f t="shared" si="43"/>
        <v>0</v>
      </c>
      <c r="M67" s="53">
        <f aca="true" t="shared" si="44" ref="M67:X67">M6+M21-M10-M29</f>
        <v>0</v>
      </c>
      <c r="N67" s="53">
        <f t="shared" si="44"/>
        <v>0</v>
      </c>
      <c r="O67" s="53">
        <f t="shared" si="44"/>
        <v>0</v>
      </c>
      <c r="P67" s="53">
        <f t="shared" si="44"/>
        <v>0</v>
      </c>
      <c r="Q67" s="53">
        <f t="shared" si="44"/>
        <v>0</v>
      </c>
      <c r="R67" s="53">
        <f t="shared" si="44"/>
        <v>0</v>
      </c>
      <c r="S67" s="53">
        <f t="shared" si="44"/>
        <v>0</v>
      </c>
      <c r="T67" s="53">
        <f t="shared" si="44"/>
        <v>0</v>
      </c>
      <c r="U67" s="53">
        <f t="shared" si="44"/>
        <v>0</v>
      </c>
      <c r="V67" s="53">
        <f t="shared" si="44"/>
        <v>0</v>
      </c>
      <c r="W67" s="53">
        <f t="shared" si="44"/>
        <v>0</v>
      </c>
      <c r="X67" s="53">
        <f t="shared" si="44"/>
        <v>0</v>
      </c>
    </row>
    <row r="68" spans="1:24" ht="52.5" customHeight="1">
      <c r="A68" s="39" t="s">
        <v>63</v>
      </c>
      <c r="B68" s="155" t="s">
        <v>83</v>
      </c>
      <c r="C68" s="155"/>
      <c r="D68" s="54">
        <f aca="true" t="shared" si="45" ref="D68:L68">D7+D27+D28-D11</f>
        <v>3559485</v>
      </c>
      <c r="E68" s="54">
        <f t="shared" si="45"/>
        <v>921000</v>
      </c>
      <c r="F68" s="54">
        <f t="shared" si="45"/>
        <v>1023748.5199999958</v>
      </c>
      <c r="G68" s="54">
        <f t="shared" si="45"/>
        <v>1523748.5199999958</v>
      </c>
      <c r="H68" s="54">
        <f t="shared" si="45"/>
        <v>0</v>
      </c>
      <c r="I68" s="54">
        <f t="shared" si="45"/>
        <v>0</v>
      </c>
      <c r="J68" s="54">
        <f t="shared" si="45"/>
        <v>0</v>
      </c>
      <c r="K68" s="54">
        <f t="shared" si="45"/>
        <v>0</v>
      </c>
      <c r="L68" s="54">
        <f t="shared" si="45"/>
        <v>0</v>
      </c>
      <c r="M68" s="54">
        <f aca="true" t="shared" si="46" ref="M68:X68">M7+M27+M28-M11</f>
        <v>0</v>
      </c>
      <c r="N68" s="54">
        <f t="shared" si="46"/>
        <v>0</v>
      </c>
      <c r="O68" s="54">
        <f t="shared" si="46"/>
        <v>0</v>
      </c>
      <c r="P68" s="54">
        <f t="shared" si="46"/>
        <v>0</v>
      </c>
      <c r="Q68" s="54">
        <f t="shared" si="46"/>
        <v>0</v>
      </c>
      <c r="R68" s="54">
        <f t="shared" si="46"/>
        <v>0</v>
      </c>
      <c r="S68" s="54">
        <f t="shared" si="46"/>
        <v>0</v>
      </c>
      <c r="T68" s="54">
        <f t="shared" si="46"/>
        <v>0</v>
      </c>
      <c r="U68" s="54">
        <f t="shared" si="46"/>
        <v>0</v>
      </c>
      <c r="V68" s="54">
        <f t="shared" si="46"/>
        <v>0</v>
      </c>
      <c r="W68" s="54">
        <f t="shared" si="46"/>
        <v>0</v>
      </c>
      <c r="X68" s="54">
        <f t="shared" si="46"/>
        <v>0</v>
      </c>
    </row>
    <row r="69" spans="1:24" ht="27" customHeight="1">
      <c r="A69" s="39" t="s">
        <v>64</v>
      </c>
      <c r="B69" s="151" t="s">
        <v>76</v>
      </c>
      <c r="C69" s="151"/>
      <c r="D69" s="6"/>
      <c r="E69" s="6"/>
      <c r="F69" s="6"/>
      <c r="G69" s="6"/>
      <c r="H69" s="7" t="s">
        <v>45</v>
      </c>
      <c r="I69" s="7" t="s">
        <v>45</v>
      </c>
      <c r="J69" s="7" t="s">
        <v>45</v>
      </c>
      <c r="K69" s="7" t="s">
        <v>45</v>
      </c>
      <c r="L69" s="7" t="s">
        <v>45</v>
      </c>
      <c r="M69" s="7" t="s">
        <v>45</v>
      </c>
      <c r="N69" s="7" t="s">
        <v>45</v>
      </c>
      <c r="O69" s="7" t="s">
        <v>45</v>
      </c>
      <c r="P69" s="7" t="s">
        <v>45</v>
      </c>
      <c r="Q69" s="7" t="s">
        <v>45</v>
      </c>
      <c r="R69" s="7" t="s">
        <v>45</v>
      </c>
      <c r="S69" s="7" t="s">
        <v>45</v>
      </c>
      <c r="T69" s="7" t="s">
        <v>45</v>
      </c>
      <c r="U69" s="7" t="s">
        <v>45</v>
      </c>
      <c r="V69" s="7" t="s">
        <v>45</v>
      </c>
      <c r="W69" s="7" t="s">
        <v>45</v>
      </c>
      <c r="X69" s="7" t="s">
        <v>45</v>
      </c>
    </row>
    <row r="70" spans="1:24" ht="27" customHeight="1">
      <c r="A70" s="39" t="s">
        <v>65</v>
      </c>
      <c r="B70" s="151" t="s">
        <v>77</v>
      </c>
      <c r="C70" s="151"/>
      <c r="D70" s="6"/>
      <c r="E70" s="6"/>
      <c r="F70" s="6"/>
      <c r="G70" s="6"/>
      <c r="H70" s="6"/>
      <c r="I70" s="6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27" customHeight="1">
      <c r="A71" s="39" t="s">
        <v>70</v>
      </c>
      <c r="B71" s="181" t="s">
        <v>97</v>
      </c>
      <c r="C71" s="149"/>
      <c r="D71" s="6"/>
      <c r="E71" s="6"/>
      <c r="F71" s="6"/>
      <c r="G71" s="6"/>
      <c r="H71" s="6"/>
      <c r="I71" s="6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27" customHeight="1">
      <c r="A72" s="39" t="s">
        <v>71</v>
      </c>
      <c r="B72" s="181" t="s">
        <v>82</v>
      </c>
      <c r="C72" s="149"/>
      <c r="D72" s="6"/>
      <c r="E72" s="6"/>
      <c r="F72" s="6"/>
      <c r="G72" s="6"/>
      <c r="H72" s="6"/>
      <c r="I72" s="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27" customHeight="1">
      <c r="A73" s="39" t="s">
        <v>72</v>
      </c>
      <c r="B73" s="151" t="s">
        <v>78</v>
      </c>
      <c r="C73" s="151"/>
      <c r="D73" s="55">
        <f>((D12-D69)+(D30-D70)+D13+D18-D71)/D6</f>
        <v>0.044893170808084484</v>
      </c>
      <c r="E73" s="55">
        <f>((E12-E69)+(E30-E70)+E13+E18-E71)/E6</f>
        <v>0.05338621525100182</v>
      </c>
      <c r="F73" s="55">
        <f>((F12-F69)+(F30-F70)+F13+F18-F71)/F6</f>
        <v>0.05777725297141037</v>
      </c>
      <c r="G73" s="55">
        <f>((G12-G69)+(G30-G70)+G13+G18-G71)/G6</f>
        <v>0.05844177974013576</v>
      </c>
      <c r="H73" s="55" t="s">
        <v>45</v>
      </c>
      <c r="I73" s="55" t="s">
        <v>45</v>
      </c>
      <c r="J73" s="55" t="s">
        <v>45</v>
      </c>
      <c r="K73" s="55" t="s">
        <v>45</v>
      </c>
      <c r="L73" s="55" t="s">
        <v>45</v>
      </c>
      <c r="M73" s="55" t="s">
        <v>45</v>
      </c>
      <c r="N73" s="55" t="s">
        <v>45</v>
      </c>
      <c r="O73" s="55" t="s">
        <v>45</v>
      </c>
      <c r="P73" s="55" t="s">
        <v>45</v>
      </c>
      <c r="Q73" s="55" t="s">
        <v>45</v>
      </c>
      <c r="R73" s="55" t="s">
        <v>45</v>
      </c>
      <c r="S73" s="55" t="s">
        <v>45</v>
      </c>
      <c r="T73" s="55" t="s">
        <v>45</v>
      </c>
      <c r="U73" s="55" t="s">
        <v>45</v>
      </c>
      <c r="V73" s="55" t="s">
        <v>45</v>
      </c>
      <c r="W73" s="55" t="s">
        <v>45</v>
      </c>
      <c r="X73" s="55" t="s">
        <v>45</v>
      </c>
    </row>
    <row r="74" spans="1:24" ht="27" customHeight="1">
      <c r="A74" s="39" t="s">
        <v>73</v>
      </c>
      <c r="B74" s="151" t="s">
        <v>79</v>
      </c>
      <c r="C74" s="151"/>
      <c r="D74" s="55">
        <f>(D47-D72)/D6</f>
        <v>0.3963060357484629</v>
      </c>
      <c r="E74" s="55">
        <f>(E47-E72)/E6</f>
        <v>0.38927346737809804</v>
      </c>
      <c r="F74" s="55">
        <f>(F47-F72)/F6</f>
        <v>0.40548193225884727</v>
      </c>
      <c r="G74" s="55">
        <f>(G47-G72)/G6</f>
        <v>0.41148159475900253</v>
      </c>
      <c r="H74" s="55" t="s">
        <v>45</v>
      </c>
      <c r="I74" s="55" t="s">
        <v>45</v>
      </c>
      <c r="J74" s="55" t="s">
        <v>45</v>
      </c>
      <c r="K74" s="55" t="s">
        <v>45</v>
      </c>
      <c r="L74" s="55" t="s">
        <v>45</v>
      </c>
      <c r="M74" s="55" t="s">
        <v>45</v>
      </c>
      <c r="N74" s="55" t="s">
        <v>45</v>
      </c>
      <c r="O74" s="55" t="s">
        <v>45</v>
      </c>
      <c r="P74" s="55" t="s">
        <v>45</v>
      </c>
      <c r="Q74" s="55" t="s">
        <v>45</v>
      </c>
      <c r="R74" s="55" t="s">
        <v>45</v>
      </c>
      <c r="S74" s="55" t="s">
        <v>45</v>
      </c>
      <c r="T74" s="55" t="s">
        <v>45</v>
      </c>
      <c r="U74" s="55" t="s">
        <v>45</v>
      </c>
      <c r="V74" s="55" t="s">
        <v>45</v>
      </c>
      <c r="W74" s="55" t="s">
        <v>45</v>
      </c>
      <c r="X74" s="55" t="s">
        <v>45</v>
      </c>
    </row>
    <row r="75" spans="1:24" ht="27" customHeight="1">
      <c r="A75" s="39" t="s">
        <v>74</v>
      </c>
      <c r="B75" s="151" t="s">
        <v>80</v>
      </c>
      <c r="C75" s="151"/>
      <c r="D75" s="119">
        <f aca="true" t="shared" si="47" ref="D75:L75">(D30-D70+D12+D13+D18-D71)/D6</f>
        <v>0.044893170808084484</v>
      </c>
      <c r="E75" s="119">
        <f t="shared" si="47"/>
        <v>0.05338621525100182</v>
      </c>
      <c r="F75" s="119">
        <f t="shared" si="47"/>
        <v>0.05777725297141037</v>
      </c>
      <c r="G75" s="119">
        <f t="shared" si="47"/>
        <v>0.05844177974013576</v>
      </c>
      <c r="H75" s="119">
        <f t="shared" si="47"/>
        <v>0.06088513971030414</v>
      </c>
      <c r="I75" s="119">
        <f t="shared" si="47"/>
        <v>0.05546627140172115</v>
      </c>
      <c r="J75" s="119">
        <f t="shared" si="47"/>
        <v>0.05546627140172115</v>
      </c>
      <c r="K75" s="119">
        <f t="shared" si="47"/>
        <v>0.05546627140172115</v>
      </c>
      <c r="L75" s="119">
        <f t="shared" si="47"/>
        <v>0.05546627140172115</v>
      </c>
      <c r="M75" s="119">
        <f aca="true" t="shared" si="48" ref="M75:X75">(M30-M70+M12+M13+M18-M71)/M6</f>
        <v>0.05546627140172115</v>
      </c>
      <c r="N75" s="119">
        <f t="shared" si="48"/>
        <v>0.05546627140172115</v>
      </c>
      <c r="O75" s="119">
        <f t="shared" si="48"/>
        <v>0.05546627140172115</v>
      </c>
      <c r="P75" s="119">
        <f t="shared" si="48"/>
        <v>0.05546627140172115</v>
      </c>
      <c r="Q75" s="119">
        <f t="shared" si="48"/>
        <v>0.05546627140172115</v>
      </c>
      <c r="R75" s="119">
        <f t="shared" si="48"/>
        <v>0.05546627140172115</v>
      </c>
      <c r="S75" s="119">
        <f t="shared" si="48"/>
        <v>0.05546627140172115</v>
      </c>
      <c r="T75" s="119">
        <f t="shared" si="48"/>
        <v>0.05546627140172115</v>
      </c>
      <c r="U75" s="119">
        <f t="shared" si="48"/>
        <v>0.05546627140172115</v>
      </c>
      <c r="V75" s="119">
        <f t="shared" si="48"/>
        <v>0.05546627140172115</v>
      </c>
      <c r="W75" s="119">
        <f t="shared" si="48"/>
        <v>0.05546616801438606</v>
      </c>
      <c r="X75" s="119">
        <f t="shared" si="48"/>
        <v>0.055397446452752616</v>
      </c>
    </row>
    <row r="76" spans="1:24" ht="51" customHeight="1">
      <c r="A76" s="39" t="s">
        <v>75</v>
      </c>
      <c r="B76" s="155" t="s">
        <v>89</v>
      </c>
      <c r="C76" s="155"/>
      <c r="D76" s="120" t="s">
        <v>54</v>
      </c>
      <c r="E76" s="120">
        <f aca="true" t="shared" si="49" ref="E76:X76">E53-E75</f>
        <v>0.03222526630023036</v>
      </c>
      <c r="F76" s="120">
        <f t="shared" si="49"/>
        <v>-0.004780451683598148</v>
      </c>
      <c r="G76" s="120">
        <f t="shared" si="49"/>
        <v>-0.008446616682520391</v>
      </c>
      <c r="H76" s="120">
        <f t="shared" si="49"/>
        <v>0.000415923445338591</v>
      </c>
      <c r="I76" s="120">
        <f t="shared" si="49"/>
        <v>0.018219586938260944</v>
      </c>
      <c r="J76" s="120">
        <f t="shared" si="49"/>
        <v>0.01680060923785557</v>
      </c>
      <c r="K76" s="120">
        <f t="shared" si="49"/>
        <v>0.011549399202755446</v>
      </c>
      <c r="L76" s="120">
        <f t="shared" si="49"/>
        <v>0.011549399202755446</v>
      </c>
      <c r="M76" s="120">
        <f t="shared" si="49"/>
        <v>0.011549399202755446</v>
      </c>
      <c r="N76" s="120">
        <f t="shared" si="49"/>
        <v>0.011549399202755446</v>
      </c>
      <c r="O76" s="120">
        <f t="shared" si="49"/>
        <v>0.011549399202755446</v>
      </c>
      <c r="P76" s="120">
        <f t="shared" si="49"/>
        <v>0.011549399202755446</v>
      </c>
      <c r="Q76" s="120">
        <f t="shared" si="49"/>
        <v>0.011549399202755446</v>
      </c>
      <c r="R76" s="120">
        <f t="shared" si="49"/>
        <v>0.011549399202755446</v>
      </c>
      <c r="S76" s="120">
        <f t="shared" si="49"/>
        <v>0.011549399202755446</v>
      </c>
      <c r="T76" s="120">
        <f t="shared" si="49"/>
        <v>0.011549399202755446</v>
      </c>
      <c r="U76" s="120">
        <f t="shared" si="49"/>
        <v>0.011549399202755446</v>
      </c>
      <c r="V76" s="120">
        <f t="shared" si="49"/>
        <v>0.011549399202755446</v>
      </c>
      <c r="W76" s="120">
        <f t="shared" si="49"/>
        <v>0.011549502590090535</v>
      </c>
      <c r="X76" s="120">
        <f t="shared" si="49"/>
        <v>0.011618224151723977</v>
      </c>
    </row>
    <row r="77" spans="1:24" ht="54" customHeight="1" thickBot="1">
      <c r="A77" s="39" t="s">
        <v>81</v>
      </c>
      <c r="B77" s="179" t="s">
        <v>96</v>
      </c>
      <c r="C77" s="180"/>
      <c r="D77" s="9" t="s">
        <v>45</v>
      </c>
      <c r="E77" s="9" t="s">
        <v>45</v>
      </c>
      <c r="F77" s="9" t="s">
        <v>45</v>
      </c>
      <c r="G77" s="9" t="s">
        <v>45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2" ht="12.75">
      <c r="A78" s="19"/>
      <c r="B78" s="20"/>
      <c r="C78" s="21"/>
      <c r="D78" s="20"/>
      <c r="E78" s="20"/>
      <c r="F78" s="20"/>
      <c r="G78" s="20"/>
      <c r="H78" s="20"/>
      <c r="I78" s="20"/>
      <c r="J78" s="20"/>
      <c r="K78" s="20"/>
      <c r="L78" s="20"/>
      <c r="M78" s="113"/>
      <c r="N78" s="114"/>
      <c r="O78" s="114"/>
      <c r="P78" s="114"/>
      <c r="Q78" s="114"/>
      <c r="R78" s="114"/>
      <c r="S78" s="114"/>
      <c r="T78" s="114"/>
      <c r="U78" s="114"/>
      <c r="V78" s="114"/>
    </row>
    <row r="79" spans="1:22" ht="12.75">
      <c r="A79" s="19"/>
      <c r="B79" s="20"/>
      <c r="C79" s="21"/>
      <c r="D79" s="20"/>
      <c r="E79" s="20"/>
      <c r="F79" s="20"/>
      <c r="G79" s="20"/>
      <c r="H79" s="20"/>
      <c r="I79" s="20"/>
      <c r="J79" s="20"/>
      <c r="K79" s="20"/>
      <c r="L79" s="20"/>
      <c r="M79" s="113"/>
      <c r="N79" s="114"/>
      <c r="O79" s="114"/>
      <c r="P79" s="114"/>
      <c r="Q79" s="114"/>
      <c r="R79" s="114"/>
      <c r="S79" s="114"/>
      <c r="T79" s="114"/>
      <c r="U79" s="114"/>
      <c r="V79" s="114"/>
    </row>
    <row r="80" spans="1:22" ht="12.75">
      <c r="A80" s="19"/>
      <c r="B80" s="20"/>
      <c r="C80" s="21"/>
      <c r="D80" s="20"/>
      <c r="E80" s="20"/>
      <c r="F80" s="20"/>
      <c r="G80" s="20"/>
      <c r="H80" s="20"/>
      <c r="I80" s="20"/>
      <c r="J80" s="20"/>
      <c r="K80" s="20"/>
      <c r="L80" s="20"/>
      <c r="M80" s="113"/>
      <c r="N80" s="114"/>
      <c r="O80" s="114"/>
      <c r="P80" s="114"/>
      <c r="Q80" s="114"/>
      <c r="R80" s="114"/>
      <c r="S80" s="114"/>
      <c r="T80" s="114"/>
      <c r="U80" s="114"/>
      <c r="V80" s="114"/>
    </row>
    <row r="81" spans="1:22" ht="12.75">
      <c r="A81" s="19"/>
      <c r="B81" s="20"/>
      <c r="C81" s="21"/>
      <c r="D81" s="20"/>
      <c r="E81" s="20"/>
      <c r="F81" s="20"/>
      <c r="G81" s="20"/>
      <c r="H81" s="20"/>
      <c r="I81" s="20"/>
      <c r="J81" s="20"/>
      <c r="K81" s="20"/>
      <c r="L81" s="20"/>
      <c r="M81" s="113"/>
      <c r="N81" s="114"/>
      <c r="O81" s="114"/>
      <c r="P81" s="114"/>
      <c r="Q81" s="114"/>
      <c r="R81" s="114"/>
      <c r="S81" s="114"/>
      <c r="T81" s="114"/>
      <c r="U81" s="114"/>
      <c r="V81" s="114"/>
    </row>
    <row r="82" spans="1:22" ht="12.75">
      <c r="A82" s="17"/>
      <c r="B82" s="15"/>
      <c r="C82" s="18"/>
      <c r="D82" s="14"/>
      <c r="E82" s="14"/>
      <c r="F82" s="14"/>
      <c r="G82" s="14"/>
      <c r="H82" s="14"/>
      <c r="I82" s="14"/>
      <c r="J82" s="14"/>
      <c r="K82" s="14"/>
      <c r="L82" s="14"/>
      <c r="M82" s="115"/>
      <c r="N82" s="114"/>
      <c r="O82" s="114"/>
      <c r="P82" s="114"/>
      <c r="Q82" s="114"/>
      <c r="R82" s="114"/>
      <c r="S82" s="114"/>
      <c r="T82" s="114"/>
      <c r="U82" s="114"/>
      <c r="V82" s="114"/>
    </row>
    <row r="83" spans="13:22" ht="12.75">
      <c r="M83" s="114"/>
      <c r="N83" s="114"/>
      <c r="O83" s="114"/>
      <c r="P83" s="114"/>
      <c r="Q83" s="114"/>
      <c r="R83" s="114"/>
      <c r="S83" s="114"/>
      <c r="T83" s="114"/>
      <c r="U83" s="114"/>
      <c r="V83" s="114"/>
    </row>
    <row r="84" spans="13:22" ht="12.75">
      <c r="M84" s="114"/>
      <c r="N84" s="114"/>
      <c r="O84" s="114"/>
      <c r="P84" s="114"/>
      <c r="Q84" s="114"/>
      <c r="R84" s="114"/>
      <c r="S84" s="114"/>
      <c r="T84" s="114"/>
      <c r="U84" s="114"/>
      <c r="V84" s="114"/>
    </row>
    <row r="85" spans="13:22" ht="12.75">
      <c r="M85" s="114"/>
      <c r="N85" s="114"/>
      <c r="O85" s="114"/>
      <c r="P85" s="114"/>
      <c r="Q85" s="114"/>
      <c r="R85" s="114"/>
      <c r="S85" s="114"/>
      <c r="T85" s="114"/>
      <c r="U85" s="114"/>
      <c r="V85" s="114"/>
    </row>
    <row r="86" spans="13:22" ht="12.75">
      <c r="M86" s="114"/>
      <c r="N86" s="114"/>
      <c r="O86" s="114"/>
      <c r="P86" s="114"/>
      <c r="Q86" s="114"/>
      <c r="R86" s="114"/>
      <c r="S86" s="114"/>
      <c r="T86" s="114"/>
      <c r="U86" s="114"/>
      <c r="V86" s="114"/>
    </row>
    <row r="87" spans="13:22" ht="12.75">
      <c r="M87" s="114"/>
      <c r="N87" s="114"/>
      <c r="O87" s="114"/>
      <c r="P87" s="114"/>
      <c r="Q87" s="114"/>
      <c r="R87" s="114"/>
      <c r="S87" s="114"/>
      <c r="T87" s="114"/>
      <c r="U87" s="114"/>
      <c r="V87" s="114"/>
    </row>
    <row r="88" spans="13:22" ht="12.75">
      <c r="M88" s="114"/>
      <c r="N88" s="114"/>
      <c r="O88" s="114"/>
      <c r="P88" s="114"/>
      <c r="Q88" s="114"/>
      <c r="R88" s="114"/>
      <c r="S88" s="114"/>
      <c r="T88" s="114"/>
      <c r="U88" s="114"/>
      <c r="V88" s="114"/>
    </row>
    <row r="89" spans="13:22" ht="12.75">
      <c r="M89" s="114"/>
      <c r="N89" s="114"/>
      <c r="O89" s="114"/>
      <c r="P89" s="114"/>
      <c r="Q89" s="114"/>
      <c r="R89" s="114"/>
      <c r="S89" s="114"/>
      <c r="T89" s="114"/>
      <c r="U89" s="114"/>
      <c r="V89" s="114"/>
    </row>
    <row r="90" spans="13:22" ht="12.75">
      <c r="M90" s="114"/>
      <c r="N90" s="114"/>
      <c r="O90" s="114"/>
      <c r="P90" s="114"/>
      <c r="Q90" s="114"/>
      <c r="R90" s="114"/>
      <c r="S90" s="114"/>
      <c r="T90" s="114"/>
      <c r="U90" s="114"/>
      <c r="V90" s="114"/>
    </row>
    <row r="91" spans="13:22" ht="12.75">
      <c r="M91" s="114"/>
      <c r="N91" s="114"/>
      <c r="O91" s="114"/>
      <c r="P91" s="114"/>
      <c r="Q91" s="114"/>
      <c r="R91" s="114"/>
      <c r="S91" s="114"/>
      <c r="T91" s="114"/>
      <c r="U91" s="114"/>
      <c r="V91" s="114"/>
    </row>
    <row r="92" spans="13:22" ht="12.75">
      <c r="M92" s="114"/>
      <c r="N92" s="114"/>
      <c r="O92" s="114"/>
      <c r="P92" s="114"/>
      <c r="Q92" s="114"/>
      <c r="R92" s="114"/>
      <c r="S92" s="114"/>
      <c r="T92" s="114"/>
      <c r="U92" s="114"/>
      <c r="V92" s="114"/>
    </row>
    <row r="93" spans="13:22" ht="12.75">
      <c r="M93" s="114"/>
      <c r="N93" s="114"/>
      <c r="O93" s="114"/>
      <c r="P93" s="114"/>
      <c r="Q93" s="114"/>
      <c r="R93" s="114"/>
      <c r="S93" s="114"/>
      <c r="T93" s="114"/>
      <c r="U93" s="114"/>
      <c r="V93" s="114"/>
    </row>
    <row r="94" spans="13:22" ht="12.75">
      <c r="M94" s="114"/>
      <c r="N94" s="114"/>
      <c r="O94" s="114"/>
      <c r="P94" s="114"/>
      <c r="Q94" s="114"/>
      <c r="R94" s="114"/>
      <c r="S94" s="114"/>
      <c r="T94" s="114"/>
      <c r="U94" s="114"/>
      <c r="V94" s="114"/>
    </row>
    <row r="95" spans="13:22" ht="12.75">
      <c r="M95" s="114"/>
      <c r="N95" s="114"/>
      <c r="O95" s="114"/>
      <c r="P95" s="114"/>
      <c r="Q95" s="114"/>
      <c r="R95" s="114"/>
      <c r="S95" s="114"/>
      <c r="T95" s="114"/>
      <c r="U95" s="114"/>
      <c r="V95" s="114"/>
    </row>
    <row r="96" spans="13:22" ht="12.75">
      <c r="M96" s="114"/>
      <c r="N96" s="114"/>
      <c r="O96" s="114"/>
      <c r="P96" s="114"/>
      <c r="Q96" s="114"/>
      <c r="R96" s="114"/>
      <c r="S96" s="114"/>
      <c r="T96" s="114"/>
      <c r="U96" s="114"/>
      <c r="V96" s="114"/>
    </row>
    <row r="97" spans="13:22" ht="12.75">
      <c r="M97" s="114"/>
      <c r="N97" s="114"/>
      <c r="O97" s="114"/>
      <c r="P97" s="114"/>
      <c r="Q97" s="114"/>
      <c r="R97" s="114"/>
      <c r="S97" s="114"/>
      <c r="T97" s="114"/>
      <c r="U97" s="114"/>
      <c r="V97" s="114"/>
    </row>
    <row r="98" spans="13:22" ht="12.75">
      <c r="M98" s="114"/>
      <c r="N98" s="114"/>
      <c r="O98" s="114"/>
      <c r="P98" s="114"/>
      <c r="Q98" s="114"/>
      <c r="R98" s="114"/>
      <c r="S98" s="114"/>
      <c r="T98" s="114"/>
      <c r="U98" s="114"/>
      <c r="V98" s="114"/>
    </row>
    <row r="99" spans="13:22" ht="12.75">
      <c r="M99" s="114"/>
      <c r="N99" s="114"/>
      <c r="O99" s="114"/>
      <c r="P99" s="114"/>
      <c r="Q99" s="114"/>
      <c r="R99" s="114"/>
      <c r="S99" s="114"/>
      <c r="T99" s="114"/>
      <c r="U99" s="114"/>
      <c r="V99" s="114"/>
    </row>
  </sheetData>
  <sheetProtection/>
  <mergeCells count="55">
    <mergeCell ref="B52:C52"/>
    <mergeCell ref="C16:C18"/>
    <mergeCell ref="B74:C74"/>
    <mergeCell ref="B75:C75"/>
    <mergeCell ref="B21:C21"/>
    <mergeCell ref="B43:C43"/>
    <mergeCell ref="B50:C50"/>
    <mergeCell ref="B67:C67"/>
    <mergeCell ref="B51:C51"/>
    <mergeCell ref="B12:B18"/>
    <mergeCell ref="B77:C77"/>
    <mergeCell ref="B71:C71"/>
    <mergeCell ref="B72:C72"/>
    <mergeCell ref="B73:C73"/>
    <mergeCell ref="B76:C76"/>
    <mergeCell ref="I16:I18"/>
    <mergeCell ref="E16:E18"/>
    <mergeCell ref="J1:K1"/>
    <mergeCell ref="B23:B25"/>
    <mergeCell ref="J16:J18"/>
    <mergeCell ref="G16:G18"/>
    <mergeCell ref="B5:C5"/>
    <mergeCell ref="B6:C6"/>
    <mergeCell ref="B10:C10"/>
    <mergeCell ref="F16:F18"/>
    <mergeCell ref="H16:H18"/>
    <mergeCell ref="B47:C47"/>
    <mergeCell ref="D16:D18"/>
    <mergeCell ref="B29:C29"/>
    <mergeCell ref="B31:B33"/>
    <mergeCell ref="B35:C35"/>
    <mergeCell ref="B36:C36"/>
    <mergeCell ref="O16:O18"/>
    <mergeCell ref="Q16:Q18"/>
    <mergeCell ref="R16:R18"/>
    <mergeCell ref="W16:W18"/>
    <mergeCell ref="P16:P18"/>
    <mergeCell ref="X16:X18"/>
    <mergeCell ref="S16:S18"/>
    <mergeCell ref="T16:T18"/>
    <mergeCell ref="U16:U18"/>
    <mergeCell ref="V16:V18"/>
    <mergeCell ref="M16:M18"/>
    <mergeCell ref="N16:N18"/>
    <mergeCell ref="K16:K18"/>
    <mergeCell ref="L16:L18"/>
    <mergeCell ref="B69:C69"/>
    <mergeCell ref="B70:C70"/>
    <mergeCell ref="B54:C54"/>
    <mergeCell ref="B53:C53"/>
    <mergeCell ref="B68:C68"/>
    <mergeCell ref="B55:B61"/>
    <mergeCell ref="A65:L65"/>
    <mergeCell ref="B66:C66"/>
    <mergeCell ref="A55:A61"/>
  </mergeCells>
  <printOptions horizontalCentered="1"/>
  <pageMargins left="0.15748031496062992" right="0.15748031496062992" top="0.32" bottom="0.23" header="0.37" footer="0.23"/>
  <pageSetup horizontalDpi="600" verticalDpi="600" orientation="landscape" paperSize="9" scale="58" r:id="rId1"/>
  <rowBreaks count="1" manualBreakCount="1">
    <brk id="5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3" width="13.125" style="0" customWidth="1"/>
    <col min="4" max="4" width="14.00390625" style="0" customWidth="1"/>
    <col min="5" max="5" width="10.125" style="0" customWidth="1"/>
  </cols>
  <sheetData>
    <row r="1" ht="12.75">
      <c r="E1" t="s">
        <v>91</v>
      </c>
    </row>
    <row r="3" ht="13.5" thickBot="1"/>
    <row r="4" spans="2:4" s="2" customFormat="1" ht="30" customHeight="1" thickBot="1">
      <c r="B4" s="101" t="s">
        <v>60</v>
      </c>
      <c r="C4" s="5"/>
      <c r="D4" s="132">
        <v>29300000</v>
      </c>
    </row>
    <row r="5" spans="2:4" ht="25.5" customHeight="1">
      <c r="B5" s="1"/>
      <c r="D5" s="4"/>
    </row>
    <row r="7" spans="1:5" ht="12.75" customHeight="1">
      <c r="A7" s="192" t="s">
        <v>102</v>
      </c>
      <c r="B7" s="192"/>
      <c r="C7" s="192"/>
      <c r="D7" s="192"/>
      <c r="E7" s="60"/>
    </row>
    <row r="8" spans="1:5" ht="24" customHeight="1">
      <c r="A8" s="192"/>
      <c r="B8" s="192"/>
      <c r="C8" s="192"/>
      <c r="D8" s="192"/>
      <c r="E8" s="60"/>
    </row>
    <row r="9" spans="1:5" ht="24" customHeight="1">
      <c r="A9" s="60"/>
      <c r="B9" s="61"/>
      <c r="C9" s="60"/>
      <c r="D9" s="70"/>
      <c r="E9" s="60"/>
    </row>
    <row r="10" spans="1:5" ht="13.5" thickBot="1">
      <c r="A10" s="60"/>
      <c r="B10" s="60"/>
      <c r="C10" s="60"/>
      <c r="D10" s="60"/>
      <c r="E10" s="60"/>
    </row>
    <row r="11" spans="1:5" s="3" customFormat="1" ht="30.75" customHeight="1" thickBot="1">
      <c r="A11" s="62" t="s">
        <v>41</v>
      </c>
      <c r="B11" s="63" t="s">
        <v>1</v>
      </c>
      <c r="C11" s="63">
        <v>2008</v>
      </c>
      <c r="D11" s="71">
        <v>2009</v>
      </c>
      <c r="E11" s="68"/>
    </row>
    <row r="12" spans="1:5" ht="39" customHeight="1">
      <c r="A12" s="64" t="s">
        <v>22</v>
      </c>
      <c r="B12" s="65" t="s">
        <v>38</v>
      </c>
      <c r="C12" s="56">
        <v>78105251.27</v>
      </c>
      <c r="D12" s="57">
        <v>79425670.09</v>
      </c>
      <c r="E12" s="60"/>
    </row>
    <row r="13" spans="1:5" ht="39" customHeight="1">
      <c r="A13" s="66" t="s">
        <v>23</v>
      </c>
      <c r="B13" s="67" t="s">
        <v>58</v>
      </c>
      <c r="C13" s="58">
        <v>4312734.26</v>
      </c>
      <c r="D13" s="59">
        <v>3073896.09</v>
      </c>
      <c r="E13" s="60"/>
    </row>
    <row r="14" spans="1:5" ht="39" customHeight="1">
      <c r="A14" s="66" t="s">
        <v>26</v>
      </c>
      <c r="B14" s="67" t="s">
        <v>39</v>
      </c>
      <c r="C14" s="58">
        <v>71782724.99</v>
      </c>
      <c r="D14" s="59">
        <v>75871286.02</v>
      </c>
      <c r="E14" s="69"/>
    </row>
    <row r="15" spans="1:5" ht="39" customHeight="1">
      <c r="A15" s="66" t="s">
        <v>27</v>
      </c>
      <c r="B15" s="67" t="s">
        <v>40</v>
      </c>
      <c r="C15" s="58">
        <v>83279694.64</v>
      </c>
      <c r="D15" s="59">
        <v>82567078.46</v>
      </c>
      <c r="E15" s="69"/>
    </row>
    <row r="16" spans="1:5" ht="39" customHeight="1" thickBot="1">
      <c r="A16" s="111" t="s">
        <v>67</v>
      </c>
      <c r="B16" s="112" t="s">
        <v>50</v>
      </c>
      <c r="C16" s="123">
        <f>(C12+C13-C14)/C15</f>
        <v>0.12770532584171837</v>
      </c>
      <c r="D16" s="124">
        <f>(D12+D13-D14)/D15</f>
        <v>0.08027751839628325</v>
      </c>
      <c r="E16" s="60"/>
    </row>
    <row r="17" spans="1:5" ht="12.75">
      <c r="A17" s="60"/>
      <c r="B17" s="60"/>
      <c r="C17" s="60"/>
      <c r="D17" s="60"/>
      <c r="E17" s="60"/>
    </row>
    <row r="18" spans="1:5" ht="12.75">
      <c r="A18" s="60"/>
      <c r="B18" s="60"/>
      <c r="C18" s="60"/>
      <c r="D18" s="60"/>
      <c r="E18" s="60"/>
    </row>
  </sheetData>
  <sheetProtection/>
  <mergeCells count="1">
    <mergeCell ref="A7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60" zoomScaleNormal="71" zoomScalePageLayoutView="0" workbookViewId="0" topLeftCell="A1">
      <selection activeCell="D2" sqref="D2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6" width="17.00390625" style="0" customWidth="1"/>
    <col min="7" max="26" width="10.125" style="0" customWidth="1"/>
    <col min="27" max="27" width="12.125" style="148" customWidth="1"/>
  </cols>
  <sheetData>
    <row r="1" spans="1:27" ht="61.5" customHeight="1">
      <c r="A1" s="76"/>
      <c r="C1" s="76"/>
      <c r="D1" s="76"/>
      <c r="E1" s="173" t="s">
        <v>126</v>
      </c>
      <c r="F1" s="174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46"/>
    </row>
    <row r="2" spans="1:27" ht="13.5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146"/>
    </row>
    <row r="3" spans="1:27" ht="90" customHeight="1">
      <c r="A3" s="193" t="s">
        <v>41</v>
      </c>
      <c r="B3" s="195" t="s">
        <v>46</v>
      </c>
      <c r="C3" s="208" t="s">
        <v>42</v>
      </c>
      <c r="D3" s="208" t="s">
        <v>43</v>
      </c>
      <c r="E3" s="208" t="s">
        <v>51</v>
      </c>
      <c r="F3" s="121" t="s">
        <v>103</v>
      </c>
      <c r="G3" s="209" t="s">
        <v>109</v>
      </c>
      <c r="H3" s="210"/>
      <c r="I3" s="210"/>
      <c r="J3" s="210"/>
      <c r="K3" s="210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206" t="s">
        <v>110</v>
      </c>
    </row>
    <row r="4" spans="1:27" ht="13.5" thickBot="1">
      <c r="A4" s="194"/>
      <c r="B4" s="196"/>
      <c r="C4" s="196"/>
      <c r="D4" s="196"/>
      <c r="E4" s="196"/>
      <c r="F4" s="122"/>
      <c r="G4" s="77">
        <v>2011</v>
      </c>
      <c r="H4" s="77">
        <v>2012</v>
      </c>
      <c r="I4" s="77">
        <v>2013</v>
      </c>
      <c r="J4" s="78">
        <v>2014</v>
      </c>
      <c r="K4" s="78">
        <v>2015</v>
      </c>
      <c r="L4" s="78">
        <v>2016</v>
      </c>
      <c r="M4" s="78">
        <v>2017</v>
      </c>
      <c r="N4" s="78">
        <v>2018</v>
      </c>
      <c r="O4" s="78">
        <v>2019</v>
      </c>
      <c r="P4" s="78">
        <v>2020</v>
      </c>
      <c r="Q4" s="78">
        <v>2021</v>
      </c>
      <c r="R4" s="78">
        <v>2022</v>
      </c>
      <c r="S4" s="78">
        <v>2023</v>
      </c>
      <c r="T4" s="78">
        <v>2024</v>
      </c>
      <c r="U4" s="78">
        <v>2025</v>
      </c>
      <c r="V4" s="78">
        <v>2026</v>
      </c>
      <c r="W4" s="78">
        <v>2027</v>
      </c>
      <c r="X4" s="78">
        <v>2028</v>
      </c>
      <c r="Y4" s="78">
        <v>2029</v>
      </c>
      <c r="Z4" s="78">
        <v>2030</v>
      </c>
      <c r="AA4" s="207"/>
    </row>
    <row r="5" spans="1:27" ht="39.75" customHeight="1">
      <c r="A5" s="79" t="s">
        <v>21</v>
      </c>
      <c r="B5" s="80" t="s">
        <v>108</v>
      </c>
      <c r="C5" s="81" t="s">
        <v>59</v>
      </c>
      <c r="D5" s="82" t="s">
        <v>93</v>
      </c>
      <c r="E5" s="83">
        <f>SUM(F5:K5)</f>
        <v>0</v>
      </c>
      <c r="F5" s="125"/>
      <c r="G5" s="83">
        <f>Ciągłość!F11</f>
        <v>0</v>
      </c>
      <c r="H5" s="83">
        <f>Ciągłość!G11</f>
        <v>0</v>
      </c>
      <c r="I5" s="83">
        <f>Ciągłość!H11</f>
        <v>0</v>
      </c>
      <c r="J5" s="84">
        <f>Ciągłość!I11</f>
        <v>0</v>
      </c>
      <c r="K5" s="134">
        <f>Ciągłość!J11</f>
        <v>0</v>
      </c>
      <c r="L5" s="134">
        <f>Ciągłość!K11</f>
        <v>0</v>
      </c>
      <c r="M5" s="134">
        <f>Ciągłość!L11</f>
        <v>0</v>
      </c>
      <c r="N5" s="134">
        <f>Ciągłość!M11</f>
        <v>0</v>
      </c>
      <c r="O5" s="134">
        <f>Ciągłość!N11</f>
        <v>0</v>
      </c>
      <c r="P5" s="134">
        <f>Ciągłość!O11</f>
        <v>0</v>
      </c>
      <c r="Q5" s="134">
        <f>Ciągłość!P11</f>
        <v>0</v>
      </c>
      <c r="R5" s="134">
        <f>Ciągłość!Q11</f>
        <v>0</v>
      </c>
      <c r="S5" s="134">
        <f>Ciągłość!R11</f>
        <v>0</v>
      </c>
      <c r="T5" s="134">
        <f>Ciągłość!S11</f>
        <v>0</v>
      </c>
      <c r="U5" s="134">
        <f>Ciągłość!T11</f>
        <v>0</v>
      </c>
      <c r="V5" s="134">
        <f>Ciągłość!U11</f>
        <v>0</v>
      </c>
      <c r="W5" s="134">
        <f>Ciągłość!V11</f>
        <v>0</v>
      </c>
      <c r="X5" s="134">
        <f>Ciągłość!W11</f>
        <v>0</v>
      </c>
      <c r="Y5" s="134">
        <f>Ciągłość!X11</f>
        <v>0</v>
      </c>
      <c r="Z5" s="134">
        <f>Ciągłość!Y11</f>
        <v>0</v>
      </c>
      <c r="AA5" s="141">
        <f>Ciągłość!K11</f>
        <v>0</v>
      </c>
    </row>
    <row r="6" spans="1:27" ht="39.75" customHeight="1">
      <c r="A6" s="85" t="s">
        <v>24</v>
      </c>
      <c r="B6" s="203" t="s">
        <v>52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5"/>
    </row>
    <row r="7" spans="1:27" s="145" customFormat="1" ht="39.75" customHeight="1">
      <c r="A7" s="79">
        <v>1</v>
      </c>
      <c r="B7" s="86" t="s">
        <v>112</v>
      </c>
      <c r="C7" s="87" t="s">
        <v>113</v>
      </c>
      <c r="D7" s="87" t="s">
        <v>114</v>
      </c>
      <c r="E7" s="88">
        <f>SUM(F7:K7)</f>
        <v>666260</v>
      </c>
      <c r="F7" s="126">
        <v>0</v>
      </c>
      <c r="G7" s="89">
        <v>221260</v>
      </c>
      <c r="H7" s="89">
        <v>230000</v>
      </c>
      <c r="I7" s="89">
        <v>215000</v>
      </c>
      <c r="J7" s="90">
        <v>0</v>
      </c>
      <c r="K7" s="97">
        <v>0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147"/>
    </row>
    <row r="8" spans="1:27" s="145" customFormat="1" ht="39.75" customHeight="1">
      <c r="A8" s="79">
        <v>2</v>
      </c>
      <c r="B8" s="86" t="s">
        <v>115</v>
      </c>
      <c r="C8" s="87" t="s">
        <v>113</v>
      </c>
      <c r="D8" s="87" t="s">
        <v>116</v>
      </c>
      <c r="E8" s="88">
        <f>SUM(F8:K8)</f>
        <v>79940</v>
      </c>
      <c r="F8" s="126"/>
      <c r="G8" s="89">
        <v>40240</v>
      </c>
      <c r="H8" s="89">
        <v>39700</v>
      </c>
      <c r="I8" s="89">
        <v>0</v>
      </c>
      <c r="J8" s="90">
        <v>0</v>
      </c>
      <c r="K8" s="97">
        <v>0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147"/>
    </row>
    <row r="9" spans="1:27" s="145" customFormat="1" ht="39.75" customHeight="1">
      <c r="A9" s="79">
        <v>3</v>
      </c>
      <c r="B9" s="86"/>
      <c r="C9" s="87"/>
      <c r="D9" s="87"/>
      <c r="E9" s="88">
        <f>SUM(F9:K9)</f>
        <v>0</v>
      </c>
      <c r="F9" s="126"/>
      <c r="G9" s="89"/>
      <c r="H9" s="89"/>
      <c r="I9" s="89"/>
      <c r="J9" s="90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147"/>
    </row>
    <row r="10" spans="1:27" ht="19.5" customHeight="1">
      <c r="A10" s="199" t="s">
        <v>44</v>
      </c>
      <c r="B10" s="200"/>
      <c r="C10" s="91" t="s">
        <v>54</v>
      </c>
      <c r="D10" s="91" t="s">
        <v>54</v>
      </c>
      <c r="E10" s="92">
        <f aca="true" t="shared" si="0" ref="E10:AA10">SUM(E7:E9)</f>
        <v>746200</v>
      </c>
      <c r="F10" s="92">
        <f t="shared" si="0"/>
        <v>0</v>
      </c>
      <c r="G10" s="92">
        <f t="shared" si="0"/>
        <v>261500</v>
      </c>
      <c r="H10" s="92">
        <f t="shared" si="0"/>
        <v>269700</v>
      </c>
      <c r="I10" s="92">
        <f t="shared" si="0"/>
        <v>215000</v>
      </c>
      <c r="J10" s="93">
        <f t="shared" si="0"/>
        <v>0</v>
      </c>
      <c r="K10" s="93">
        <f t="shared" si="0"/>
        <v>0</v>
      </c>
      <c r="L10" s="93">
        <f t="shared" si="0"/>
        <v>0</v>
      </c>
      <c r="M10" s="93">
        <f t="shared" si="0"/>
        <v>0</v>
      </c>
      <c r="N10" s="93">
        <f t="shared" si="0"/>
        <v>0</v>
      </c>
      <c r="O10" s="93">
        <f t="shared" si="0"/>
        <v>0</v>
      </c>
      <c r="P10" s="93">
        <f t="shared" si="0"/>
        <v>0</v>
      </c>
      <c r="Q10" s="93">
        <f t="shared" si="0"/>
        <v>0</v>
      </c>
      <c r="R10" s="93">
        <f t="shared" si="0"/>
        <v>0</v>
      </c>
      <c r="S10" s="93">
        <f t="shared" si="0"/>
        <v>0</v>
      </c>
      <c r="T10" s="93">
        <f t="shared" si="0"/>
        <v>0</v>
      </c>
      <c r="U10" s="93">
        <f t="shared" si="0"/>
        <v>0</v>
      </c>
      <c r="V10" s="93">
        <f t="shared" si="0"/>
        <v>0</v>
      </c>
      <c r="W10" s="93">
        <f t="shared" si="0"/>
        <v>0</v>
      </c>
      <c r="X10" s="93">
        <f t="shared" si="0"/>
        <v>0</v>
      </c>
      <c r="Y10" s="93">
        <f t="shared" si="0"/>
        <v>0</v>
      </c>
      <c r="Z10" s="93">
        <f t="shared" si="0"/>
        <v>0</v>
      </c>
      <c r="AA10" s="94">
        <f t="shared" si="0"/>
        <v>0</v>
      </c>
    </row>
    <row r="11" spans="1:27" ht="39.75" customHeight="1">
      <c r="A11" s="85" t="s">
        <v>25</v>
      </c>
      <c r="B11" s="203" t="s">
        <v>53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5"/>
    </row>
    <row r="12" spans="1:27" s="145" customFormat="1" ht="39.75" customHeight="1">
      <c r="A12" s="79"/>
      <c r="B12" s="95" t="s">
        <v>117</v>
      </c>
      <c r="C12" s="87" t="s">
        <v>113</v>
      </c>
      <c r="D12" s="87" t="s">
        <v>118</v>
      </c>
      <c r="E12" s="88">
        <f>SUM(F12:K12)</f>
        <v>11734422.41</v>
      </c>
      <c r="F12" s="126"/>
      <c r="G12" s="89">
        <v>1418865.5</v>
      </c>
      <c r="H12" s="89">
        <v>6503632.3</v>
      </c>
      <c r="I12" s="89">
        <v>3811924.61</v>
      </c>
      <c r="J12" s="90">
        <v>0</v>
      </c>
      <c r="K12" s="97">
        <v>0</v>
      </c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147"/>
    </row>
    <row r="13" spans="1:27" s="145" customFormat="1" ht="39.75" customHeight="1">
      <c r="A13" s="79">
        <v>2</v>
      </c>
      <c r="B13" s="95" t="s">
        <v>119</v>
      </c>
      <c r="C13" s="87" t="s">
        <v>113</v>
      </c>
      <c r="D13" s="87" t="s">
        <v>118</v>
      </c>
      <c r="E13" s="88">
        <f>SUM(F13:K13)</f>
        <v>4944268</v>
      </c>
      <c r="F13" s="126"/>
      <c r="G13" s="89">
        <v>3590468</v>
      </c>
      <c r="H13" s="89">
        <v>1353800</v>
      </c>
      <c r="I13" s="89">
        <v>0</v>
      </c>
      <c r="J13" s="89">
        <v>0</v>
      </c>
      <c r="K13" s="90">
        <v>0</v>
      </c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147"/>
    </row>
    <row r="14" spans="1:27" s="145" customFormat="1" ht="39.75" customHeight="1">
      <c r="A14" s="79">
        <v>3</v>
      </c>
      <c r="B14" s="143" t="s">
        <v>122</v>
      </c>
      <c r="C14" s="87" t="s">
        <v>113</v>
      </c>
      <c r="D14" s="87" t="s">
        <v>116</v>
      </c>
      <c r="E14" s="88">
        <f>SUM(F14:K14)</f>
        <v>330000</v>
      </c>
      <c r="F14" s="126"/>
      <c r="G14" s="89">
        <v>30000</v>
      </c>
      <c r="H14" s="89">
        <v>150000</v>
      </c>
      <c r="I14" s="89">
        <v>150000</v>
      </c>
      <c r="J14" s="89">
        <v>0</v>
      </c>
      <c r="K14" s="90">
        <v>0</v>
      </c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147">
        <v>0</v>
      </c>
    </row>
    <row r="15" spans="1:27" ht="19.5" customHeight="1">
      <c r="A15" s="199" t="s">
        <v>44</v>
      </c>
      <c r="B15" s="200"/>
      <c r="C15" s="91" t="s">
        <v>54</v>
      </c>
      <c r="D15" s="91" t="s">
        <v>54</v>
      </c>
      <c r="E15" s="92">
        <f aca="true" t="shared" si="1" ref="E15:K15">SUM(E12:E14)</f>
        <v>17008690.41</v>
      </c>
      <c r="F15" s="92">
        <f t="shared" si="1"/>
        <v>0</v>
      </c>
      <c r="G15" s="136">
        <f t="shared" si="1"/>
        <v>5039333.5</v>
      </c>
      <c r="H15" s="136">
        <f t="shared" si="1"/>
        <v>8007432.3</v>
      </c>
      <c r="I15" s="136">
        <f t="shared" si="1"/>
        <v>3961924.61</v>
      </c>
      <c r="J15" s="137">
        <f t="shared" si="1"/>
        <v>0</v>
      </c>
      <c r="K15" s="137">
        <f t="shared" si="1"/>
        <v>0</v>
      </c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8">
        <f>SUM(AA12:AA14)</f>
        <v>0</v>
      </c>
    </row>
    <row r="16" spans="1:27" ht="39.75" customHeight="1">
      <c r="A16" s="85" t="s">
        <v>28</v>
      </c>
      <c r="B16" s="203" t="s">
        <v>92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5"/>
    </row>
    <row r="17" spans="1:28" s="145" customFormat="1" ht="39.75" customHeight="1">
      <c r="A17" s="79">
        <v>1</v>
      </c>
      <c r="B17" s="86" t="s">
        <v>120</v>
      </c>
      <c r="C17" s="81"/>
      <c r="D17" s="81" t="s">
        <v>121</v>
      </c>
      <c r="E17" s="83">
        <f>SUM(G17:K17)</f>
        <v>2638451.7</v>
      </c>
      <c r="F17" s="125">
        <v>658300</v>
      </c>
      <c r="G17" s="96">
        <v>658300</v>
      </c>
      <c r="H17" s="96">
        <v>658215</v>
      </c>
      <c r="I17" s="96">
        <v>657804</v>
      </c>
      <c r="J17" s="97">
        <v>594132.7</v>
      </c>
      <c r="K17" s="97">
        <v>70000</v>
      </c>
      <c r="L17" s="97">
        <v>70000</v>
      </c>
      <c r="M17" s="97">
        <v>70000</v>
      </c>
      <c r="N17" s="97">
        <v>70000</v>
      </c>
      <c r="O17" s="97">
        <v>70000</v>
      </c>
      <c r="P17" s="97">
        <v>70000</v>
      </c>
      <c r="Q17" s="97">
        <v>70000</v>
      </c>
      <c r="R17" s="97">
        <v>70000</v>
      </c>
      <c r="S17" s="97">
        <v>70000</v>
      </c>
      <c r="T17" s="97">
        <v>70000</v>
      </c>
      <c r="U17" s="97">
        <v>70000</v>
      </c>
      <c r="V17" s="97">
        <v>70000</v>
      </c>
      <c r="W17" s="97">
        <v>70000</v>
      </c>
      <c r="X17" s="97">
        <v>70000</v>
      </c>
      <c r="Y17" s="97">
        <v>69990</v>
      </c>
      <c r="Z17" s="97">
        <v>63343</v>
      </c>
      <c r="AA17" s="147"/>
      <c r="AB17" s="142"/>
    </row>
    <row r="18" spans="1:27" ht="19.5" customHeight="1" thickBot="1">
      <c r="A18" s="201" t="s">
        <v>44</v>
      </c>
      <c r="B18" s="202"/>
      <c r="C18" s="91" t="s">
        <v>54</v>
      </c>
      <c r="D18" s="91" t="s">
        <v>54</v>
      </c>
      <c r="E18" s="92">
        <f>SUM(E17:E17)</f>
        <v>2638451.7</v>
      </c>
      <c r="F18" s="92">
        <f>SUM(F17)</f>
        <v>658300</v>
      </c>
      <c r="G18" s="92">
        <f aca="true" t="shared" si="2" ref="G18:AA18">SUM(G17:G17)</f>
        <v>658300</v>
      </c>
      <c r="H18" s="92">
        <f t="shared" si="2"/>
        <v>658215</v>
      </c>
      <c r="I18" s="92">
        <f t="shared" si="2"/>
        <v>657804</v>
      </c>
      <c r="J18" s="93">
        <f t="shared" si="2"/>
        <v>594132.7</v>
      </c>
      <c r="K18" s="93">
        <f t="shared" si="2"/>
        <v>70000</v>
      </c>
      <c r="L18" s="93">
        <f t="shared" si="2"/>
        <v>70000</v>
      </c>
      <c r="M18" s="93">
        <f t="shared" si="2"/>
        <v>70000</v>
      </c>
      <c r="N18" s="93">
        <f t="shared" si="2"/>
        <v>70000</v>
      </c>
      <c r="O18" s="93">
        <f t="shared" si="2"/>
        <v>70000</v>
      </c>
      <c r="P18" s="93">
        <f t="shared" si="2"/>
        <v>70000</v>
      </c>
      <c r="Q18" s="93">
        <f t="shared" si="2"/>
        <v>70000</v>
      </c>
      <c r="R18" s="93">
        <f t="shared" si="2"/>
        <v>70000</v>
      </c>
      <c r="S18" s="93">
        <f t="shared" si="2"/>
        <v>70000</v>
      </c>
      <c r="T18" s="93">
        <f t="shared" si="2"/>
        <v>70000</v>
      </c>
      <c r="U18" s="93">
        <f t="shared" si="2"/>
        <v>70000</v>
      </c>
      <c r="V18" s="93">
        <f t="shared" si="2"/>
        <v>70000</v>
      </c>
      <c r="W18" s="93">
        <f t="shared" si="2"/>
        <v>70000</v>
      </c>
      <c r="X18" s="93">
        <f t="shared" si="2"/>
        <v>70000</v>
      </c>
      <c r="Y18" s="93">
        <f t="shared" si="2"/>
        <v>69990</v>
      </c>
      <c r="Z18" s="93">
        <f t="shared" si="2"/>
        <v>63343</v>
      </c>
      <c r="AA18" s="94">
        <f t="shared" si="2"/>
        <v>0</v>
      </c>
    </row>
    <row r="19" spans="1:27" ht="39" customHeight="1" thickBot="1" thickTop="1">
      <c r="A19" s="197" t="s">
        <v>66</v>
      </c>
      <c r="B19" s="198"/>
      <c r="C19" s="98" t="s">
        <v>54</v>
      </c>
      <c r="D19" s="98" t="s">
        <v>54</v>
      </c>
      <c r="E19" s="99">
        <f aca="true" t="shared" si="3" ref="E19:AA19">E5+E10+E15+E18</f>
        <v>20393342.11</v>
      </c>
      <c r="F19" s="99">
        <f t="shared" si="3"/>
        <v>658300</v>
      </c>
      <c r="G19" s="99">
        <f t="shared" si="3"/>
        <v>5959133.5</v>
      </c>
      <c r="H19" s="99">
        <f t="shared" si="3"/>
        <v>8935347.3</v>
      </c>
      <c r="I19" s="99">
        <f t="shared" si="3"/>
        <v>4834728.609999999</v>
      </c>
      <c r="J19" s="99">
        <f t="shared" si="3"/>
        <v>594132.7</v>
      </c>
      <c r="K19" s="135">
        <f t="shared" si="3"/>
        <v>70000</v>
      </c>
      <c r="L19" s="135">
        <f t="shared" si="3"/>
        <v>70000</v>
      </c>
      <c r="M19" s="135">
        <f t="shared" si="3"/>
        <v>70000</v>
      </c>
      <c r="N19" s="135">
        <f t="shared" si="3"/>
        <v>70000</v>
      </c>
      <c r="O19" s="135">
        <f t="shared" si="3"/>
        <v>70000</v>
      </c>
      <c r="P19" s="135">
        <f t="shared" si="3"/>
        <v>70000</v>
      </c>
      <c r="Q19" s="135">
        <f t="shared" si="3"/>
        <v>70000</v>
      </c>
      <c r="R19" s="135">
        <f t="shared" si="3"/>
        <v>70000</v>
      </c>
      <c r="S19" s="135">
        <f t="shared" si="3"/>
        <v>70000</v>
      </c>
      <c r="T19" s="135">
        <f t="shared" si="3"/>
        <v>70000</v>
      </c>
      <c r="U19" s="135">
        <f t="shared" si="3"/>
        <v>70000</v>
      </c>
      <c r="V19" s="135">
        <f t="shared" si="3"/>
        <v>70000</v>
      </c>
      <c r="W19" s="135">
        <f t="shared" si="3"/>
        <v>70000</v>
      </c>
      <c r="X19" s="135">
        <f t="shared" si="3"/>
        <v>70000</v>
      </c>
      <c r="Y19" s="135">
        <f t="shared" si="3"/>
        <v>69990</v>
      </c>
      <c r="Z19" s="135">
        <f t="shared" si="3"/>
        <v>63343</v>
      </c>
      <c r="AA19" s="100">
        <f t="shared" si="3"/>
        <v>0</v>
      </c>
    </row>
    <row r="20" spans="1:27" ht="13.5" thickTop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146"/>
    </row>
    <row r="21" spans="1:27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146"/>
    </row>
  </sheetData>
  <sheetProtection/>
  <mergeCells count="15">
    <mergeCell ref="B11:AA11"/>
    <mergeCell ref="G3:K3"/>
    <mergeCell ref="E1:F1"/>
    <mergeCell ref="C3:C4"/>
    <mergeCell ref="B6:AA6"/>
    <mergeCell ref="A3:A4"/>
    <mergeCell ref="B3:B4"/>
    <mergeCell ref="A19:B19"/>
    <mergeCell ref="A10:B10"/>
    <mergeCell ref="A15:B15"/>
    <mergeCell ref="A18:B18"/>
    <mergeCell ref="B16:AA16"/>
    <mergeCell ref="AA3:AA4"/>
    <mergeCell ref="D3:D4"/>
    <mergeCell ref="E3:E4"/>
  </mergeCells>
  <printOptions horizontalCentered="1"/>
  <pageMargins left="0.31496062992125984" right="0.1968503937007874" top="0.17" bottom="0.16" header="0.17" footer="0.1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B2">
      <selection activeCell="H11" sqref="H11"/>
    </sheetView>
  </sheetViews>
  <sheetFormatPr defaultColWidth="9.00390625" defaultRowHeight="12.75"/>
  <cols>
    <col min="1" max="1" width="9.125" style="11" customWidth="1"/>
    <col min="2" max="2" width="31.75390625" style="11" bestFit="1" customWidth="1"/>
    <col min="3" max="3" width="19.75390625" style="11" customWidth="1"/>
    <col min="4" max="4" width="13.375" style="11" customWidth="1"/>
    <col min="5" max="5" width="14.75390625" style="11" customWidth="1"/>
    <col min="6" max="10" width="15.75390625" style="11" customWidth="1"/>
    <col min="11" max="11" width="11.75390625" style="11" customWidth="1"/>
    <col min="12" max="16384" width="9.125" style="11" customWidth="1"/>
  </cols>
  <sheetData>
    <row r="1" spans="1:11" ht="12.75">
      <c r="A1" s="60"/>
      <c r="B1" s="60"/>
      <c r="C1" s="60"/>
      <c r="D1" s="60"/>
      <c r="E1" s="215" t="s">
        <v>90</v>
      </c>
      <c r="F1" s="215"/>
      <c r="G1" s="215"/>
      <c r="H1" s="215"/>
      <c r="I1" s="215"/>
      <c r="J1" s="215"/>
      <c r="K1" s="60"/>
    </row>
    <row r="2" spans="1:11" ht="13.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12" customFormat="1" ht="90" customHeight="1">
      <c r="A3" s="216" t="s">
        <v>41</v>
      </c>
      <c r="B3" s="218" t="s">
        <v>46</v>
      </c>
      <c r="C3" s="220" t="s">
        <v>42</v>
      </c>
      <c r="D3" s="220" t="s">
        <v>43</v>
      </c>
      <c r="E3" s="220" t="s">
        <v>51</v>
      </c>
      <c r="F3" s="223" t="s">
        <v>111</v>
      </c>
      <c r="G3" s="224"/>
      <c r="H3" s="224"/>
      <c r="I3" s="224"/>
      <c r="J3" s="225"/>
      <c r="K3" s="211" t="s">
        <v>110</v>
      </c>
    </row>
    <row r="4" spans="1:11" ht="13.5" thickBot="1">
      <c r="A4" s="217"/>
      <c r="B4" s="219"/>
      <c r="C4" s="221"/>
      <c r="D4" s="221"/>
      <c r="E4" s="222"/>
      <c r="F4" s="72">
        <v>2011</v>
      </c>
      <c r="G4" s="72">
        <v>2012</v>
      </c>
      <c r="H4" s="72">
        <v>2013</v>
      </c>
      <c r="I4" s="73">
        <v>2014</v>
      </c>
      <c r="J4" s="74">
        <v>2015</v>
      </c>
      <c r="K4" s="212"/>
    </row>
    <row r="5" spans="1:11" ht="39.75" customHeight="1">
      <c r="A5" s="66" t="s">
        <v>21</v>
      </c>
      <c r="B5" s="226" t="s">
        <v>108</v>
      </c>
      <c r="C5" s="227"/>
      <c r="D5" s="227"/>
      <c r="E5" s="227"/>
      <c r="F5" s="227"/>
      <c r="G5" s="227"/>
      <c r="H5" s="227"/>
      <c r="I5" s="227"/>
      <c r="J5" s="228"/>
      <c r="K5" s="139"/>
    </row>
    <row r="6" spans="1:11" ht="39.75" customHeight="1">
      <c r="A6" s="66">
        <v>1</v>
      </c>
      <c r="B6" s="103"/>
      <c r="C6" s="75"/>
      <c r="D6" s="75"/>
      <c r="E6" s="104"/>
      <c r="F6" s="46"/>
      <c r="G6" s="46"/>
      <c r="H6" s="46"/>
      <c r="I6" s="109"/>
      <c r="J6" s="110"/>
      <c r="K6" s="140"/>
    </row>
    <row r="7" spans="1:11" ht="39.75" customHeight="1">
      <c r="A7" s="66">
        <v>2</v>
      </c>
      <c r="B7" s="103"/>
      <c r="C7" s="75"/>
      <c r="D7" s="75"/>
      <c r="E7" s="104">
        <f>SUM(F7:J7)</f>
        <v>0</v>
      </c>
      <c r="F7" s="46"/>
      <c r="G7" s="46"/>
      <c r="H7" s="46"/>
      <c r="I7" s="109"/>
      <c r="J7" s="110"/>
      <c r="K7" s="140"/>
    </row>
    <row r="8" spans="1:11" ht="39.75" customHeight="1">
      <c r="A8" s="66">
        <v>3</v>
      </c>
      <c r="B8" s="103"/>
      <c r="C8" s="75"/>
      <c r="D8" s="75"/>
      <c r="E8" s="104">
        <f>SUM(F8:J8)</f>
        <v>0</v>
      </c>
      <c r="F8" s="46"/>
      <c r="G8" s="46"/>
      <c r="H8" s="46"/>
      <c r="I8" s="109"/>
      <c r="J8" s="110"/>
      <c r="K8" s="140"/>
    </row>
    <row r="9" spans="1:11" ht="39.75" customHeight="1">
      <c r="A9" s="66">
        <v>4</v>
      </c>
      <c r="B9" s="103"/>
      <c r="C9" s="75"/>
      <c r="D9" s="75"/>
      <c r="E9" s="104">
        <f>SUM(F9:J9)</f>
        <v>0</v>
      </c>
      <c r="F9" s="46"/>
      <c r="G9" s="46"/>
      <c r="H9" s="46"/>
      <c r="I9" s="109"/>
      <c r="J9" s="110"/>
      <c r="K9" s="140"/>
    </row>
    <row r="10" spans="1:11" ht="39.75" customHeight="1">
      <c r="A10" s="66">
        <v>5</v>
      </c>
      <c r="B10" s="103"/>
      <c r="C10" s="75"/>
      <c r="D10" s="75"/>
      <c r="E10" s="104">
        <f>SUM(F10:J10)</f>
        <v>0</v>
      </c>
      <c r="F10" s="46"/>
      <c r="G10" s="46"/>
      <c r="H10" s="46"/>
      <c r="I10" s="109"/>
      <c r="J10" s="110"/>
      <c r="K10" s="140"/>
    </row>
    <row r="11" spans="1:11" s="13" customFormat="1" ht="19.5" customHeight="1" thickBot="1">
      <c r="A11" s="213" t="s">
        <v>44</v>
      </c>
      <c r="B11" s="214"/>
      <c r="C11" s="106" t="s">
        <v>54</v>
      </c>
      <c r="D11" s="106" t="s">
        <v>54</v>
      </c>
      <c r="E11" s="105">
        <f aca="true" t="shared" si="0" ref="E11:K11">SUM(E6:E10)</f>
        <v>0</v>
      </c>
      <c r="F11" s="105">
        <f t="shared" si="0"/>
        <v>0</v>
      </c>
      <c r="G11" s="105">
        <f t="shared" si="0"/>
        <v>0</v>
      </c>
      <c r="H11" s="105">
        <f t="shared" si="0"/>
        <v>0</v>
      </c>
      <c r="I11" s="107">
        <f t="shared" si="0"/>
        <v>0</v>
      </c>
      <c r="J11" s="108">
        <f t="shared" si="0"/>
        <v>0</v>
      </c>
      <c r="K11" s="108">
        <f t="shared" si="0"/>
        <v>0</v>
      </c>
    </row>
  </sheetData>
  <sheetProtection/>
  <mergeCells count="10">
    <mergeCell ref="K3:K4"/>
    <mergeCell ref="A11:B11"/>
    <mergeCell ref="E1:J1"/>
    <mergeCell ref="A3:A4"/>
    <mergeCell ref="B3:B4"/>
    <mergeCell ref="C3:C4"/>
    <mergeCell ref="D3:D4"/>
    <mergeCell ref="E3:E4"/>
    <mergeCell ref="F3:J3"/>
    <mergeCell ref="B5:J5"/>
  </mergeCells>
  <printOptions/>
  <pageMargins left="0.31" right="0.2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Urząd Miasta Lębork</cp:lastModifiedBy>
  <cp:lastPrinted>2011-02-09T13:50:04Z</cp:lastPrinted>
  <dcterms:created xsi:type="dcterms:W3CDTF">2009-10-11T13:25:47Z</dcterms:created>
  <dcterms:modified xsi:type="dcterms:W3CDTF">2011-02-11T13:38:38Z</dcterms:modified>
  <cp:category/>
  <cp:version/>
  <cp:contentType/>
  <cp:contentStatus/>
</cp:coreProperties>
</file>