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75" activeTab="0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Area" localSheetId="2">'Przedsięwzięcia'!$A$1:$AA$21</definedName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<sst xmlns="http://schemas.openxmlformats.org/spreadsheetml/2006/main" count="204" uniqueCount="129">
  <si>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</si>
  <si>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</si>
  <si>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</si>
  <si>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</si>
  <si>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</si>
  <si>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</si>
  <si>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</si>
  <si>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</si>
  <si>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</si>
  <si>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</si>
  <si>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</si>
  <si>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</si>
  <si>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</si>
  <si>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</si>
  <si>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</si>
  <si>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</si>
  <si>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</si>
  <si>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</si>
  <si>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</si>
  <si>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</si>
  <si>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</si>
  <si>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</si>
  <si>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</si>
  <si>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</si>
  <si>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</si>
  <si>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</si>
  <si>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</si>
  <si>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</si>
  <si>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</si>
  <si>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</si>
  <si>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</si>
  <si>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</si>
  <si>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</si>
  <si>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</si>
  <si>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</si>
  <si>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</si>
  <si>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</si>
  <si>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</si>
  <si>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</si>
  <si>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</si>
  <si>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</si>
  <si>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</si>
  <si>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</si>
  <si>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</si>
  <si>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</si>
  <si>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</si>
  <si>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</si>
  <si>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</si>
  <si>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</si>
  <si>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</si>
  <si>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</si>
  <si>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</si>
  <si>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</si>
  <si>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</si>
  <si>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X</t>
  </si>
  <si>
    <t>obsługa długu</t>
  </si>
  <si>
    <t>spłata długu</t>
  </si>
  <si>
    <t>spłata zaciągniętęgo długu</t>
  </si>
  <si>
    <t>Sprzedaż majątku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</si>
  <si>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</si>
  <si>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</si>
  <si>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</si>
  <si>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</si>
  <si>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</si>
  <si>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</si>
  <si>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</si>
  <si>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</si>
  <si>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</si>
  <si>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</si>
  <si>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</si>
  <si>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</si>
  <si>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</si>
  <si>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</si>
  <si>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</si>
  <si>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</si>
  <si>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</si>
  <si>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</si>
  <si>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</si>
  <si>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</si>
  <si>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</si>
  <si>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</si>
  <si>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</si>
  <si>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</si>
  <si>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</si>
  <si>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Sposób sfinansowania długu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</si>
  <si>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</si>
  <si>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</si>
  <si>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</si>
  <si>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</si>
  <si>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</si>
  <si>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</si>
  <si>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</si>
  <si>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</si>
  <si>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</si>
  <si>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</si>
  <si>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</si>
  <si>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</si>
  <si>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Gwarancje i poręczenia związane z UE -sam. os. prawne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</si>
  <si>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</si>
  <si>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</si>
  <si>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</si>
  <si>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</si>
  <si>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Wielkości początkowe za lata 2008 - 2009 do obliczenia relacji,      o której mowa w art. 243 ufp</t>
  </si>
  <si>
    <t>Nakłady poniesione w latach poprzednich</t>
  </si>
  <si>
    <t>nadwyżka budżetowa</t>
  </si>
  <si>
    <t xml:space="preserve">Przedsięwzięcia </t>
  </si>
  <si>
    <t xml:space="preserve">gwarancje i poręczenia </t>
  </si>
  <si>
    <t xml:space="preserve">Dług / Prognoza kwoty długu </t>
  </si>
  <si>
    <t>Umowy, o których mowa w art. 226, ust. 4 pkt 2 ufp (zapewnienie ciągłości dzialania jednostki)</t>
  </si>
  <si>
    <t>Limity wydatków</t>
  </si>
  <si>
    <t>Limit zobowiązań</t>
  </si>
  <si>
    <t xml:space="preserve">Limity wydatków </t>
  </si>
  <si>
    <t>RECReate - Stworzenie nowego produktu turystycznego na obszarze Południowego Bałtyku</t>
  </si>
  <si>
    <t>UM</t>
  </si>
  <si>
    <t>2011-2012</t>
  </si>
  <si>
    <t>CTF - zdobywanie przyszłości - wymiana informacji z zakresu biznesu i rozwoju w Regionie Południowego Bałtyku</t>
  </si>
  <si>
    <t>2010-2012</t>
  </si>
  <si>
    <t>Rewitalizacja centrum Lęborka</t>
  </si>
  <si>
    <t>2009-2012</t>
  </si>
  <si>
    <t xml:space="preserve">Budowa i przebudowa systemów odbioru,odprowadzania i oczyszczania wód opadowych i roztopowych - </t>
  </si>
  <si>
    <t>Poręczenia kredytów</t>
  </si>
  <si>
    <t>2011-2030</t>
  </si>
  <si>
    <t>Iluminacja zabytkowych kościołów</t>
  </si>
  <si>
    <t xml:space="preserve">*przewidywane wykonanie  </t>
  </si>
  <si>
    <t>Wieloletnia Prognoza Finansowa Miasta Lęborka na lata 2011-2030</t>
  </si>
  <si>
    <t>Termomodernizacja przedszkoli w Lęborku</t>
  </si>
  <si>
    <t>Badania archeologiczne kwartału dawnej zabudowy miejskiej przy Placu Pokoju - etap I</t>
  </si>
  <si>
    <t>Załacznik Nr 2                                                         do Uchwały Nr IX-89/2011                            Rady Miejskiej w Lęborku                                      z dnia 22.07.2011 roku</t>
  </si>
  <si>
    <t>Załacznik Nr 1                                    do Uchwały Nr …………          Rady Miejskiej w Lęborku                     z dnia …………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</si>
</sst>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40">
    <font>
      <sz val="10"/>
      <name val="Arial CE"/>
      <family val="0"/>
    </font>
    <font>
      <sz val="11"/>
      <color indexed="8"/>
      <name val="Cambria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sz val="11"/>
      <color rgb="FF006100"/>
      <name val="Cambria"/>
      <family val="2"/>
    </font>
    <font>
      <sz val="11"/>
      <color rgb="FFFA7D00"/>
      <name val="Cambria"/>
      <family val="2"/>
    </font>
    <font>
      <b/>
      <sz val="11"/>
      <color theme="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9C6500"/>
      <name val="Cambria"/>
      <family val="2"/>
    </font>
    <font>
      <b/>
      <sz val="11"/>
      <color rgb="FFFA7D00"/>
      <name val="Cambria"/>
      <family val="2"/>
    </font>
    <font>
      <b/>
      <sz val="11"/>
      <color theme="1"/>
      <name val="Cambria"/>
      <family val="2"/>
    </font>
    <font>
      <i/>
      <sz val="11"/>
      <color rgb="FF7F7F7F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mbria"/>
      <family val="2"/>
    </font>
    <font>
      <sz val="11"/>
      <color rgb="FF9C0006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double"/>
      <bottom style="double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4" fontId="3" fillId="34" borderId="15" xfId="0" applyNumberFormat="1" applyFont="1" applyFill="1" applyBorder="1" applyAlignment="1" applyProtection="1">
      <alignment horizontal="center" vertical="center"/>
      <protection/>
    </xf>
    <xf numFmtId="4" fontId="3" fillId="34" borderId="16" xfId="0" applyNumberFormat="1" applyFont="1" applyFill="1" applyBorder="1" applyAlignment="1" applyProtection="1">
      <alignment vertical="center"/>
      <protection/>
    </xf>
    <xf numFmtId="4" fontId="3" fillId="34" borderId="17" xfId="0" applyNumberFormat="1" applyFont="1" applyFill="1" applyBorder="1" applyAlignment="1" applyProtection="1">
      <alignment vertical="center" wrapText="1"/>
      <protection/>
    </xf>
    <xf numFmtId="4" fontId="0" fillId="34" borderId="15" xfId="0" applyNumberFormat="1" applyFill="1" applyBorder="1" applyAlignment="1" applyProtection="1">
      <alignment horizontal="center" vertical="center"/>
      <protection/>
    </xf>
    <xf numFmtId="4" fontId="0" fillId="34" borderId="16" xfId="0" applyNumberForma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vertical="center" wrapText="1"/>
      <protection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ill="1" applyBorder="1" applyAlignment="1" applyProtection="1">
      <alignment horizontal="center" vertical="center" textRotation="90"/>
      <protection/>
    </xf>
    <xf numFmtId="4" fontId="0" fillId="34" borderId="16" xfId="0" applyNumberFormat="1" applyFill="1" applyBorder="1" applyAlignment="1" applyProtection="1">
      <alignment vertical="center"/>
      <protection/>
    </xf>
    <xf numFmtId="4" fontId="3" fillId="34" borderId="17" xfId="0" applyNumberFormat="1" applyFon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vertical="center" wrapText="1"/>
      <protection/>
    </xf>
    <xf numFmtId="4" fontId="2" fillId="34" borderId="17" xfId="0" applyNumberFormat="1" applyFont="1" applyFill="1" applyBorder="1" applyAlignment="1" applyProtection="1">
      <alignment vertical="center" wrapText="1"/>
      <protection/>
    </xf>
    <xf numFmtId="4" fontId="2" fillId="34" borderId="18" xfId="0" applyNumberFormat="1" applyFont="1" applyFill="1" applyBorder="1" applyAlignment="1" applyProtection="1">
      <alignment horizontal="center" vertical="center"/>
      <protection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left" vertical="center"/>
      <protection/>
    </xf>
    <xf numFmtId="4" fontId="0" fillId="34" borderId="20" xfId="0" applyNumberForma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10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21" xfId="0" applyNumberFormat="1" applyFont="1" applyFill="1" applyBorder="1" applyAlignment="1" applyProtection="1">
      <alignment horizontal="center" vertical="center"/>
      <protection/>
    </xf>
    <xf numFmtId="3" fontId="2" fillId="34" borderId="22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ill="1" applyBorder="1" applyAlignment="1" applyProtection="1">
      <alignment horizontal="right" vertical="center"/>
      <protection locked="0"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3" borderId="10" xfId="0" applyNumberFormat="1" applyFill="1" applyBorder="1" applyAlignment="1" applyProtection="1">
      <alignment horizontal="right" vertical="center"/>
      <protection/>
    </xf>
    <xf numFmtId="4" fontId="0" fillId="33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21" xfId="0" applyNumberFormat="1" applyFont="1" applyFill="1" applyBorder="1" applyAlignment="1" applyProtection="1">
      <alignment vertical="center"/>
      <protection/>
    </xf>
    <xf numFmtId="10" fontId="0" fillId="34" borderId="10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horizontal="left" wrapText="1"/>
    </xf>
    <xf numFmtId="0" fontId="2" fillId="34" borderId="2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0" fillId="34" borderId="30" xfId="0" applyNumberForma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 wrapText="1"/>
    </xf>
    <xf numFmtId="0" fontId="0" fillId="34" borderId="21" xfId="0" applyFill="1" applyBorder="1" applyAlignment="1">
      <alignment horizontal="center" vertical="center"/>
    </xf>
    <xf numFmtId="3" fontId="0" fillId="34" borderId="21" xfId="0" applyNumberFormat="1" applyFill="1" applyBorder="1" applyAlignment="1">
      <alignment horizontal="center" vertical="center"/>
    </xf>
    <xf numFmtId="3" fontId="0" fillId="33" borderId="21" xfId="0" applyNumberFormat="1" applyFill="1" applyBorder="1" applyAlignment="1">
      <alignment horizontal="center" vertical="center"/>
    </xf>
    <xf numFmtId="3" fontId="0" fillId="33" borderId="31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vertical="center" wrapText="1"/>
    </xf>
    <xf numFmtId="3" fontId="0" fillId="33" borderId="10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" fontId="4" fillId="34" borderId="33" xfId="0" applyNumberFormat="1" applyFont="1" applyFill="1" applyBorder="1" applyAlignment="1">
      <alignment horizontal="center" vertical="center"/>
    </xf>
    <xf numFmtId="3" fontId="4" fillId="34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/>
    </xf>
    <xf numFmtId="49" fontId="0" fillId="34" borderId="17" xfId="0" applyNumberFormat="1" applyFill="1" applyBorder="1" applyAlignment="1">
      <alignment vertical="center" wrapText="1"/>
    </xf>
    <xf numFmtId="3" fontId="0" fillId="34" borderId="10" xfId="0" applyNumberForma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center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0" fillId="33" borderId="35" xfId="0" applyNumberFormat="1" applyFill="1" applyBorder="1" applyAlignment="1" applyProtection="1">
      <alignment horizontal="right" vertical="center"/>
      <protection locked="0"/>
    </xf>
    <xf numFmtId="3" fontId="0" fillId="33" borderId="23" xfId="0" applyNumberFormat="1" applyFill="1" applyBorder="1" applyAlignment="1" applyProtection="1">
      <alignment horizontal="right"/>
      <protection locked="0"/>
    </xf>
    <xf numFmtId="0" fontId="0" fillId="34" borderId="36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/>
    </xf>
    <xf numFmtId="164" fontId="0" fillId="34" borderId="11" xfId="0" applyNumberFormat="1" applyFill="1" applyBorder="1" applyAlignment="1">
      <alignment vertical="center"/>
    </xf>
    <xf numFmtId="164" fontId="0" fillId="34" borderId="2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 applyProtection="1">
      <alignment horizontal="center" vertical="center" wrapText="1"/>
      <protection/>
    </xf>
    <xf numFmtId="4" fontId="4" fillId="34" borderId="17" xfId="0" applyNumberFormat="1" applyFont="1" applyFill="1" applyBorder="1" applyAlignment="1" applyProtection="1">
      <alignment vertical="center" wrapText="1"/>
      <protection/>
    </xf>
    <xf numFmtId="4" fontId="4" fillId="34" borderId="11" xfId="0" applyNumberFormat="1" applyFont="1" applyFill="1" applyBorder="1" applyAlignment="1" applyProtection="1">
      <alignment vertical="center" wrapText="1"/>
      <protection/>
    </xf>
    <xf numFmtId="4" fontId="4" fillId="34" borderId="3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3" fillId="35" borderId="4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0" fillId="34" borderId="35" xfId="0" applyNumberFormat="1" applyFill="1" applyBorder="1" applyAlignment="1">
      <alignment horizontal="center" vertical="center"/>
    </xf>
    <xf numFmtId="3" fontId="4" fillId="34" borderId="41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4" xfId="0" applyNumberFormat="1" applyFont="1" applyFill="1" applyBorder="1" applyAlignment="1">
      <alignment horizontal="center" vertical="center"/>
    </xf>
    <xf numFmtId="0" fontId="0" fillId="34" borderId="42" xfId="0" applyFill="1" applyBorder="1" applyAlignment="1">
      <alignment/>
    </xf>
    <xf numFmtId="0" fontId="0" fillId="33" borderId="42" xfId="0" applyFill="1" applyBorder="1" applyAlignment="1">
      <alignment/>
    </xf>
    <xf numFmtId="3" fontId="0" fillId="34" borderId="43" xfId="0" applyNumberFormat="1" applyFill="1" applyBorder="1" applyAlignment="1">
      <alignment horizontal="center" vertical="center"/>
    </xf>
    <xf numFmtId="3" fontId="0" fillId="33" borderId="44" xfId="0" applyNumberFormat="1" applyFill="1" applyBorder="1" applyAlignment="1">
      <alignment horizontal="center" vertical="center"/>
    </xf>
    <xf numFmtId="0" fontId="3" fillId="34" borderId="3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10" fontId="2" fillId="34" borderId="21" xfId="0" applyNumberFormat="1" applyFont="1" applyFill="1" applyBorder="1" applyAlignment="1" applyProtection="1">
      <alignment horizontal="center" vertical="center"/>
      <protection/>
    </xf>
    <xf numFmtId="10" fontId="0" fillId="34" borderId="21" xfId="0" applyNumberFormat="1" applyFont="1" applyFill="1" applyBorder="1" applyAlignment="1" applyProtection="1">
      <alignment horizontal="center" vertical="center"/>
      <protection/>
    </xf>
    <xf numFmtId="10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45" xfId="0" applyFill="1" applyBorder="1" applyAlignment="1">
      <alignment/>
    </xf>
    <xf numFmtId="4" fontId="0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34" borderId="16" xfId="0" applyNumberFormat="1" applyFont="1" applyFill="1" applyBorder="1" applyAlignment="1" applyProtection="1">
      <alignment horizontal="center" vertical="center" wrapText="1"/>
      <protection/>
    </xf>
    <xf numFmtId="4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34" borderId="28" xfId="0" applyFill="1" applyBorder="1" applyAlignment="1" applyProtection="1">
      <alignment horizontal="left" vertical="center" wrapText="1"/>
      <protection/>
    </xf>
    <xf numFmtId="0" fontId="0" fillId="34" borderId="46" xfId="0" applyFill="1" applyBorder="1" applyAlignment="1" applyProtection="1">
      <alignment horizontal="left" vertical="center" wrapText="1"/>
      <protection/>
    </xf>
    <xf numFmtId="4" fontId="0" fillId="34" borderId="16" xfId="0" applyNumberFormat="1" applyFont="1" applyFill="1" applyBorder="1" applyAlignment="1" applyProtection="1">
      <alignment horizontal="left" vertical="center" wrapText="1"/>
      <protection/>
    </xf>
    <xf numFmtId="4" fontId="0" fillId="34" borderId="17" xfId="0" applyNumberFormat="1" applyFont="1" applyFill="1" applyBorder="1" applyAlignment="1" applyProtection="1">
      <alignment horizontal="left" vertical="center" wrapText="1"/>
      <protection/>
    </xf>
    <xf numFmtId="4" fontId="0" fillId="34" borderId="21" xfId="0" applyNumberFormat="1" applyFont="1" applyFill="1" applyBorder="1" applyAlignment="1" applyProtection="1">
      <alignment horizontal="left" vertical="center" wrapText="1"/>
      <protection/>
    </xf>
    <xf numFmtId="3" fontId="0" fillId="34" borderId="21" xfId="0" applyNumberFormat="1" applyFill="1" applyBorder="1" applyAlignment="1" applyProtection="1">
      <alignment horizontal="center" vertical="center"/>
      <protection/>
    </xf>
    <xf numFmtId="3" fontId="0" fillId="34" borderId="47" xfId="0" applyNumberFormat="1" applyFill="1" applyBorder="1" applyAlignment="1" applyProtection="1">
      <alignment horizontal="center" vertical="center"/>
      <protection/>
    </xf>
    <xf numFmtId="3" fontId="0" fillId="34" borderId="22" xfId="0" applyNumberFormat="1" applyFill="1" applyBorder="1" applyAlignment="1" applyProtection="1">
      <alignment horizontal="center" vertical="center"/>
      <protection/>
    </xf>
    <xf numFmtId="4" fontId="2" fillId="34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47" xfId="0" applyNumberFormat="1" applyFont="1" applyFill="1" applyBorder="1" applyAlignment="1" applyProtection="1">
      <alignment horizontal="center" vertical="center" textRotation="90" wrapText="1"/>
      <protection/>
    </xf>
    <xf numFmtId="4" fontId="2" fillId="34" borderId="38" xfId="0" applyNumberFormat="1" applyFont="1" applyFill="1" applyBorder="1" applyAlignment="1" applyProtection="1">
      <alignment horizontal="center" vertical="center" textRotation="90" wrapText="1"/>
      <protection/>
    </xf>
    <xf numFmtId="4" fontId="4" fillId="34" borderId="13" xfId="0" applyNumberFormat="1" applyFont="1" applyFill="1" applyBorder="1" applyAlignment="1" applyProtection="1">
      <alignment horizontal="center" vertical="center"/>
      <protection/>
    </xf>
    <xf numFmtId="4" fontId="4" fillId="34" borderId="48" xfId="0" applyNumberFormat="1" applyFont="1" applyFill="1" applyBorder="1" applyAlignment="1" applyProtection="1">
      <alignment horizontal="center" vertical="center"/>
      <protection/>
    </xf>
    <xf numFmtId="4" fontId="0" fillId="34" borderId="10" xfId="0" applyNumberFormat="1" applyFill="1" applyBorder="1" applyAlignment="1" applyProtection="1">
      <alignment horizontal="left" vertical="center" wrapText="1"/>
      <protection/>
    </xf>
    <xf numFmtId="4" fontId="2" fillId="34" borderId="20" xfId="0" applyNumberFormat="1" applyFont="1" applyFill="1" applyBorder="1" applyAlignment="1" applyProtection="1">
      <alignment horizontal="center" vertical="center"/>
      <protection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36" xfId="0" applyNumberFormat="1" applyFont="1" applyFill="1" applyBorder="1" applyAlignment="1" applyProtection="1">
      <alignment horizontal="center" vertical="center"/>
      <protection/>
    </xf>
    <xf numFmtId="4" fontId="0" fillId="34" borderId="22" xfId="0" applyNumberFormat="1" applyFill="1" applyBorder="1" applyAlignment="1" applyProtection="1">
      <alignment horizontal="left" vertical="center" wrapText="1"/>
      <protection/>
    </xf>
    <xf numFmtId="3" fontId="0" fillId="33" borderId="21" xfId="0" applyNumberFormat="1" applyFill="1" applyBorder="1" applyAlignment="1" applyProtection="1">
      <alignment horizontal="center" vertical="center"/>
      <protection locked="0"/>
    </xf>
    <xf numFmtId="3" fontId="0" fillId="33" borderId="47" xfId="0" applyNumberFormat="1" applyFill="1" applyBorder="1" applyAlignment="1" applyProtection="1">
      <alignment horizontal="center" vertical="center"/>
      <protection locked="0"/>
    </xf>
    <xf numFmtId="3" fontId="0" fillId="33" borderId="22" xfId="0" applyNumberFormat="1" applyFill="1" applyBorder="1" applyAlignment="1" applyProtection="1">
      <alignment horizontal="center" vertical="center"/>
      <protection locked="0"/>
    </xf>
    <xf numFmtId="4" fontId="2" fillId="34" borderId="21" xfId="0" applyNumberFormat="1" applyFont="1" applyFill="1" applyBorder="1" applyAlignment="1" applyProtection="1">
      <alignment horizontal="center" vertical="center" wrapText="1"/>
      <protection/>
    </xf>
    <xf numFmtId="4" fontId="2" fillId="34" borderId="31" xfId="0" applyNumberFormat="1" applyFont="1" applyFill="1" applyBorder="1" applyAlignment="1" applyProtection="1">
      <alignment horizontal="center" vertical="center" wrapText="1"/>
      <protection/>
    </xf>
    <xf numFmtId="4" fontId="2" fillId="34" borderId="32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34" borderId="49" xfId="0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 applyProtection="1">
      <alignment horizontal="center" vertical="center"/>
      <protection/>
    </xf>
    <xf numFmtId="4" fontId="2" fillId="34" borderId="44" xfId="0" applyNumberFormat="1" applyFont="1" applyFill="1" applyBorder="1" applyAlignment="1" applyProtection="1">
      <alignment horizontal="center" vertical="center"/>
      <protection/>
    </xf>
    <xf numFmtId="4" fontId="2" fillId="34" borderId="51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ill="1" applyBorder="1" applyAlignment="1" applyProtection="1">
      <alignment horizontal="center" vertical="center" textRotation="90"/>
      <protection/>
    </xf>
    <xf numFmtId="4" fontId="0" fillId="34" borderId="47" xfId="0" applyNumberFormat="1" applyFill="1" applyBorder="1" applyAlignment="1" applyProtection="1">
      <alignment horizontal="center" vertical="center" textRotation="90"/>
      <protection/>
    </xf>
    <xf numFmtId="4" fontId="0" fillId="34" borderId="22" xfId="0" applyNumberFormat="1" applyFill="1" applyBorder="1" applyAlignment="1" applyProtection="1">
      <alignment horizontal="center" vertical="center" textRotation="90"/>
      <protection/>
    </xf>
    <xf numFmtId="4" fontId="0" fillId="34" borderId="21" xfId="0" applyNumberFormat="1" applyFill="1" applyBorder="1" applyAlignment="1" applyProtection="1">
      <alignment horizontal="center" vertical="center" wrapText="1"/>
      <protection/>
    </xf>
    <xf numFmtId="4" fontId="0" fillId="34" borderId="47" xfId="0" applyNumberFormat="1" applyFill="1" applyBorder="1" applyAlignment="1" applyProtection="1">
      <alignment horizontal="center" vertical="center" wrapText="1"/>
      <protection/>
    </xf>
    <xf numFmtId="4" fontId="0" fillId="34" borderId="22" xfId="0" applyNumberFormat="1" applyFill="1" applyBorder="1" applyAlignment="1" applyProtection="1">
      <alignment horizontal="center" vertical="center" wrapText="1"/>
      <protection/>
    </xf>
    <xf numFmtId="4" fontId="0" fillId="34" borderId="31" xfId="0" applyNumberFormat="1" applyFill="1" applyBorder="1" applyAlignment="1" applyProtection="1">
      <alignment horizontal="center" vertical="center" textRotation="90"/>
      <protection/>
    </xf>
    <xf numFmtId="4" fontId="0" fillId="34" borderId="44" xfId="0" applyNumberFormat="1" applyFill="1" applyBorder="1" applyAlignment="1" applyProtection="1">
      <alignment horizontal="center" vertical="center" textRotation="90"/>
      <protection/>
    </xf>
    <xf numFmtId="4" fontId="0" fillId="34" borderId="35" xfId="0" applyNumberFormat="1" applyFill="1" applyBorder="1" applyAlignment="1" applyProtection="1">
      <alignment horizontal="center" vertical="center" textRotation="90"/>
      <protection/>
    </xf>
    <xf numFmtId="0" fontId="2" fillId="34" borderId="0" xfId="0" applyFont="1" applyFill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34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2" fillId="34" borderId="58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2" fillId="34" borderId="30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/>
    </xf>
    <xf numFmtId="0" fontId="2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2" fillId="34" borderId="58" xfId="0" applyFont="1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  <xf numFmtId="0" fontId="2" fillId="34" borderId="30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left" vertical="center" wrapText="1"/>
    </xf>
    <xf numFmtId="49" fontId="2" fillId="34" borderId="59" xfId="0" applyNumberFormat="1" applyFont="1" applyFill="1" applyBorder="1" applyAlignment="1">
      <alignment horizontal="left" vertical="center" wrapText="1"/>
    </xf>
    <xf numFmtId="49" fontId="2" fillId="34" borderId="6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8" width="13.625" style="0" bestFit="1" customWidth="1"/>
    <col min="9" max="9" width="15.125" style="0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20" width="11.75390625" style="0" customWidth="1"/>
    <col min="21" max="21" width="14.00390625" style="0" customWidth="1"/>
    <col min="22" max="22" width="15.125" style="0" customWidth="1"/>
    <col min="23" max="23" width="11.75390625" style="0" customWidth="1"/>
    <col min="24" max="24" width="13.00390625" style="0" customWidth="1"/>
  </cols>
  <sheetData>
    <row r="1" spans="1:22" ht="51" customHeight="1">
      <c r="A1" s="19"/>
      <c r="B1" s="20"/>
      <c r="C1" s="21"/>
      <c r="D1" s="20"/>
      <c r="E1" s="20"/>
      <c r="F1" s="20"/>
      <c r="G1" s="20"/>
      <c r="H1" s="20"/>
      <c r="I1" s="20"/>
      <c r="J1" s="177" t="s">
        <v>128</v>
      </c>
      <c r="K1" s="178"/>
      <c r="L1" s="20"/>
      <c r="M1" s="112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.75">
      <c r="A2" s="19"/>
      <c r="B2" s="20"/>
      <c r="C2" s="21"/>
      <c r="D2" s="20"/>
      <c r="E2" s="40" t="s">
        <v>124</v>
      </c>
      <c r="F2" s="20"/>
      <c r="G2" s="20"/>
      <c r="H2" s="20"/>
      <c r="I2" s="20"/>
      <c r="J2" s="20"/>
      <c r="K2" s="20"/>
      <c r="L2" s="20"/>
      <c r="M2" s="112"/>
      <c r="N2" s="113"/>
      <c r="O2" s="113"/>
      <c r="P2" s="113"/>
      <c r="Q2" s="113"/>
      <c r="R2" s="113"/>
      <c r="S2" s="113"/>
      <c r="T2" s="113"/>
      <c r="U2" s="113"/>
      <c r="V2" s="113"/>
    </row>
    <row r="3" spans="1:22" ht="12.75">
      <c r="A3" s="19"/>
      <c r="B3" s="20"/>
      <c r="C3" s="21"/>
      <c r="D3" s="20"/>
      <c r="E3" s="20"/>
      <c r="F3" s="20" t="s">
        <v>101</v>
      </c>
      <c r="G3" s="20"/>
      <c r="H3" s="20"/>
      <c r="I3" s="20"/>
      <c r="J3" s="20"/>
      <c r="K3" s="20"/>
      <c r="L3" s="20"/>
      <c r="M3" s="112"/>
      <c r="N3" s="113"/>
      <c r="O3" s="113"/>
      <c r="P3" s="113"/>
      <c r="Q3" s="113"/>
      <c r="R3" s="113"/>
      <c r="S3" s="113"/>
      <c r="T3" s="113"/>
      <c r="U3" s="113"/>
      <c r="V3" s="113"/>
    </row>
    <row r="4" spans="1:22" ht="13.5" thickBot="1">
      <c r="A4" s="19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112"/>
      <c r="N4" s="113"/>
      <c r="O4" s="113"/>
      <c r="P4" s="113"/>
      <c r="Q4" s="113"/>
      <c r="R4" s="113"/>
      <c r="S4" s="113"/>
      <c r="T4" s="113"/>
      <c r="U4" s="113"/>
      <c r="V4" s="113"/>
    </row>
    <row r="5" spans="1:24" ht="24.75" customHeight="1" thickBot="1">
      <c r="A5" s="22" t="s">
        <v>0</v>
      </c>
      <c r="B5" s="179" t="s">
        <v>1</v>
      </c>
      <c r="C5" s="180"/>
      <c r="D5" s="16" t="s">
        <v>100</v>
      </c>
      <c r="E5" s="16">
        <v>2011</v>
      </c>
      <c r="F5" s="16">
        <v>2012</v>
      </c>
      <c r="G5" s="16">
        <v>2013</v>
      </c>
      <c r="H5" s="16">
        <v>2014</v>
      </c>
      <c r="I5" s="16">
        <v>2015</v>
      </c>
      <c r="J5" s="16">
        <v>2016</v>
      </c>
      <c r="K5" s="16">
        <v>2017</v>
      </c>
      <c r="L5" s="16">
        <v>2018</v>
      </c>
      <c r="M5" s="16">
        <v>2019</v>
      </c>
      <c r="N5" s="16">
        <v>2020</v>
      </c>
      <c r="O5" s="16">
        <v>2021</v>
      </c>
      <c r="P5" s="16">
        <v>2022</v>
      </c>
      <c r="Q5" s="16">
        <v>2023</v>
      </c>
      <c r="R5" s="16">
        <v>2024</v>
      </c>
      <c r="S5" s="16">
        <v>2025</v>
      </c>
      <c r="T5" s="16">
        <v>2026</v>
      </c>
      <c r="U5" s="16">
        <v>2027</v>
      </c>
      <c r="V5" s="16">
        <v>2028</v>
      </c>
      <c r="W5" s="16">
        <v>2029</v>
      </c>
      <c r="X5" s="16">
        <v>2030</v>
      </c>
    </row>
    <row r="6" spans="1:24" ht="12.75">
      <c r="A6" s="23" t="s">
        <v>21</v>
      </c>
      <c r="B6" s="181" t="s">
        <v>2</v>
      </c>
      <c r="C6" s="182"/>
      <c r="D6" s="43">
        <f aca="true" t="shared" si="0" ref="D6:L6">D7+D8</f>
        <v>92857531</v>
      </c>
      <c r="E6" s="43">
        <f t="shared" si="0"/>
        <v>105347295</v>
      </c>
      <c r="F6" s="43">
        <f t="shared" si="0"/>
        <v>98894906</v>
      </c>
      <c r="G6" s="43">
        <f t="shared" si="0"/>
        <v>97223646.22</v>
      </c>
      <c r="H6" s="43">
        <f t="shared" si="0"/>
        <v>97923646</v>
      </c>
      <c r="I6" s="43">
        <f t="shared" si="0"/>
        <v>98036501</v>
      </c>
      <c r="J6" s="43">
        <f t="shared" si="0"/>
        <v>99369050.06</v>
      </c>
      <c r="K6" s="43">
        <f t="shared" si="0"/>
        <v>100721587.3559</v>
      </c>
      <c r="L6" s="43">
        <f t="shared" si="0"/>
        <v>102094412.7112385</v>
      </c>
      <c r="M6" s="43">
        <f aca="true" t="shared" si="1" ref="M6:X6">M7+M8</f>
        <v>103487830.44690709</v>
      </c>
      <c r="N6" s="43">
        <f t="shared" si="1"/>
        <v>104902149.4486107</v>
      </c>
      <c r="O6" s="43">
        <f t="shared" si="1"/>
        <v>106337683.23533985</v>
      </c>
      <c r="P6" s="43">
        <f t="shared" si="1"/>
        <v>107794750.02886994</v>
      </c>
      <c r="Q6" s="43">
        <f t="shared" si="1"/>
        <v>109273672.82430299</v>
      </c>
      <c r="R6" s="43">
        <f t="shared" si="1"/>
        <v>110774779.46166754</v>
      </c>
      <c r="S6" s="43">
        <f t="shared" si="1"/>
        <v>112298402.69859254</v>
      </c>
      <c r="T6" s="43">
        <f t="shared" si="1"/>
        <v>113823515</v>
      </c>
      <c r="U6" s="43">
        <f t="shared" si="1"/>
        <v>115374748</v>
      </c>
      <c r="V6" s="43">
        <f t="shared" si="1"/>
        <v>116938318</v>
      </c>
      <c r="W6" s="43">
        <f t="shared" si="1"/>
        <v>117297895</v>
      </c>
      <c r="X6" s="43">
        <f t="shared" si="1"/>
        <v>117299897</v>
      </c>
    </row>
    <row r="7" spans="1:24" ht="12.75" customHeight="1">
      <c r="A7" s="24" t="s">
        <v>22</v>
      </c>
      <c r="B7" s="25"/>
      <c r="C7" s="26" t="s">
        <v>3</v>
      </c>
      <c r="D7" s="44">
        <v>82647939</v>
      </c>
      <c r="E7" s="44">
        <v>86788163</v>
      </c>
      <c r="F7" s="44">
        <v>88523299</v>
      </c>
      <c r="G7" s="44">
        <v>88023749</v>
      </c>
      <c r="H7" s="44">
        <v>88723749</v>
      </c>
      <c r="I7" s="44">
        <v>88836604</v>
      </c>
      <c r="J7" s="44">
        <f aca="true" t="shared" si="2" ref="J7:S7">I7+I7*1.5%</f>
        <v>90169153.06</v>
      </c>
      <c r="K7" s="44">
        <f t="shared" si="2"/>
        <v>91521690.3559</v>
      </c>
      <c r="L7" s="44">
        <f t="shared" si="2"/>
        <v>92894515.7112385</v>
      </c>
      <c r="M7" s="44">
        <f t="shared" si="2"/>
        <v>94287933.44690709</v>
      </c>
      <c r="N7" s="44">
        <f t="shared" si="2"/>
        <v>95702252.4486107</v>
      </c>
      <c r="O7" s="44">
        <f t="shared" si="2"/>
        <v>97137786.23533985</v>
      </c>
      <c r="P7" s="44">
        <f t="shared" si="2"/>
        <v>98594853.02886994</v>
      </c>
      <c r="Q7" s="44">
        <f t="shared" si="2"/>
        <v>100073775.82430299</v>
      </c>
      <c r="R7" s="44">
        <f t="shared" si="2"/>
        <v>101574882.46166754</v>
      </c>
      <c r="S7" s="44">
        <f t="shared" si="2"/>
        <v>103098505.69859254</v>
      </c>
      <c r="T7" s="44">
        <v>104623618</v>
      </c>
      <c r="U7" s="44">
        <v>106174851</v>
      </c>
      <c r="V7" s="44">
        <v>107738421</v>
      </c>
      <c r="W7" s="44">
        <v>108097998</v>
      </c>
      <c r="X7" s="44">
        <v>108100000</v>
      </c>
    </row>
    <row r="8" spans="1:24" ht="12.75">
      <c r="A8" s="24" t="s">
        <v>23</v>
      </c>
      <c r="B8" s="25"/>
      <c r="C8" s="26" t="s">
        <v>4</v>
      </c>
      <c r="D8" s="44">
        <v>10209592</v>
      </c>
      <c r="E8" s="44">
        <v>18559132</v>
      </c>
      <c r="F8" s="45">
        <v>10371607</v>
      </c>
      <c r="G8" s="45">
        <v>9199897.22</v>
      </c>
      <c r="H8" s="45">
        <v>9199897</v>
      </c>
      <c r="I8" s="45">
        <v>9199897</v>
      </c>
      <c r="J8" s="45">
        <v>9199897</v>
      </c>
      <c r="K8" s="45">
        <v>9199897</v>
      </c>
      <c r="L8" s="45">
        <v>9199897</v>
      </c>
      <c r="M8" s="45">
        <v>9199897</v>
      </c>
      <c r="N8" s="45">
        <v>9199897</v>
      </c>
      <c r="O8" s="45">
        <v>9199897</v>
      </c>
      <c r="P8" s="45">
        <v>9199897</v>
      </c>
      <c r="Q8" s="45">
        <v>9199897</v>
      </c>
      <c r="R8" s="45">
        <v>9199897</v>
      </c>
      <c r="S8" s="45">
        <v>9199897</v>
      </c>
      <c r="T8" s="45">
        <v>9199897</v>
      </c>
      <c r="U8" s="45">
        <v>9199897</v>
      </c>
      <c r="V8" s="45">
        <v>9199897</v>
      </c>
      <c r="W8" s="45">
        <v>9199897</v>
      </c>
      <c r="X8" s="45">
        <v>9199897</v>
      </c>
    </row>
    <row r="9" spans="1:24" ht="12.75">
      <c r="A9" s="27"/>
      <c r="B9" s="28" t="s">
        <v>29</v>
      </c>
      <c r="C9" s="29" t="s">
        <v>47</v>
      </c>
      <c r="D9" s="45">
        <v>5718232</v>
      </c>
      <c r="E9" s="45">
        <v>6910678</v>
      </c>
      <c r="F9" s="45">
        <v>5972000</v>
      </c>
      <c r="G9" s="45">
        <v>6482000</v>
      </c>
      <c r="H9" s="45">
        <v>6482000</v>
      </c>
      <c r="I9" s="45">
        <v>6482000</v>
      </c>
      <c r="J9" s="45">
        <v>6482000</v>
      </c>
      <c r="K9" s="45">
        <v>6482000</v>
      </c>
      <c r="L9" s="45">
        <v>6482000</v>
      </c>
      <c r="M9" s="45">
        <v>6482000</v>
      </c>
      <c r="N9" s="45">
        <v>6482000</v>
      </c>
      <c r="O9" s="45">
        <v>6482000</v>
      </c>
      <c r="P9" s="45">
        <v>6482000</v>
      </c>
      <c r="Q9" s="45">
        <v>6482000</v>
      </c>
      <c r="R9" s="45">
        <v>6482000</v>
      </c>
      <c r="S9" s="45">
        <v>6482000</v>
      </c>
      <c r="T9" s="45">
        <v>6482000</v>
      </c>
      <c r="U9" s="45">
        <v>6482000</v>
      </c>
      <c r="V9" s="45">
        <v>6482000</v>
      </c>
      <c r="W9" s="45">
        <v>6482000</v>
      </c>
      <c r="X9" s="45">
        <v>6482000</v>
      </c>
    </row>
    <row r="10" spans="1:24" ht="12.75">
      <c r="A10" s="30" t="s">
        <v>24</v>
      </c>
      <c r="B10" s="150" t="s">
        <v>5</v>
      </c>
      <c r="C10" s="151"/>
      <c r="D10" s="46">
        <f aca="true" t="shared" si="3" ref="D10:L10">D11+D19</f>
        <v>100225779</v>
      </c>
      <c r="E10" s="46">
        <f t="shared" si="3"/>
        <v>113220525.45</v>
      </c>
      <c r="F10" s="46">
        <f t="shared" si="3"/>
        <v>100394906</v>
      </c>
      <c r="G10" s="46">
        <f t="shared" si="3"/>
        <v>97223646</v>
      </c>
      <c r="H10" s="46">
        <f t="shared" si="3"/>
        <v>97923646</v>
      </c>
      <c r="I10" s="46">
        <f t="shared" si="3"/>
        <v>97636881.49</v>
      </c>
      <c r="J10" s="46">
        <f t="shared" si="3"/>
        <v>98660939</v>
      </c>
      <c r="K10" s="46">
        <f t="shared" si="3"/>
        <v>99695938</v>
      </c>
      <c r="L10" s="46">
        <f t="shared" si="3"/>
        <v>100741998.98</v>
      </c>
      <c r="M10" s="46">
        <f aca="true" t="shared" si="4" ref="M10:X10">M11+M19</f>
        <v>101799240</v>
      </c>
      <c r="N10" s="46">
        <f t="shared" si="4"/>
        <v>102867787.515</v>
      </c>
      <c r="O10" s="46">
        <f t="shared" si="4"/>
        <v>103947763</v>
      </c>
      <c r="P10" s="46">
        <f t="shared" si="4"/>
        <v>105039293</v>
      </c>
      <c r="Q10" s="46">
        <f t="shared" si="4"/>
        <v>106142504</v>
      </c>
      <c r="R10" s="46">
        <f t="shared" si="4"/>
        <v>107257524.535</v>
      </c>
      <c r="S10" s="46">
        <f t="shared" si="4"/>
        <v>108384484.023025</v>
      </c>
      <c r="T10" s="46">
        <f t="shared" si="4"/>
        <v>109423515</v>
      </c>
      <c r="U10" s="46">
        <f t="shared" si="4"/>
        <v>110574748</v>
      </c>
      <c r="V10" s="46">
        <f t="shared" si="4"/>
        <v>111938318</v>
      </c>
      <c r="W10" s="46">
        <f t="shared" si="4"/>
        <v>113114361.305</v>
      </c>
      <c r="X10" s="46">
        <f t="shared" si="4"/>
        <v>117299897</v>
      </c>
    </row>
    <row r="11" spans="1:24" ht="12.75">
      <c r="A11" s="24" t="s">
        <v>22</v>
      </c>
      <c r="B11" s="25"/>
      <c r="C11" s="26" t="s">
        <v>3</v>
      </c>
      <c r="D11" s="44">
        <v>83735310</v>
      </c>
      <c r="E11" s="44">
        <v>90876862.45</v>
      </c>
      <c r="F11" s="44">
        <v>87500000</v>
      </c>
      <c r="G11" s="44">
        <v>86000000</v>
      </c>
      <c r="H11" s="44">
        <v>87523749</v>
      </c>
      <c r="I11" s="44">
        <f>H11+H11*1%</f>
        <v>88398986.49</v>
      </c>
      <c r="J11" s="44">
        <v>89284476</v>
      </c>
      <c r="K11" s="44">
        <v>90175806</v>
      </c>
      <c r="L11" s="44">
        <v>91079065</v>
      </c>
      <c r="M11" s="44">
        <v>91988339</v>
      </c>
      <c r="N11" s="44">
        <v>92909723</v>
      </c>
      <c r="O11" s="44">
        <v>93837305</v>
      </c>
      <c r="P11" s="44">
        <v>94775678</v>
      </c>
      <c r="Q11" s="44">
        <v>95724935</v>
      </c>
      <c r="R11" s="44">
        <v>96683692</v>
      </c>
      <c r="S11" s="44">
        <v>97652044</v>
      </c>
      <c r="T11" s="44">
        <v>98623951</v>
      </c>
      <c r="U11" s="44">
        <v>99613190</v>
      </c>
      <c r="V11" s="44">
        <v>100606293</v>
      </c>
      <c r="W11" s="44">
        <f>V11+V11*1%</f>
        <v>101612355.93</v>
      </c>
      <c r="X11" s="44">
        <v>102628480</v>
      </c>
    </row>
    <row r="12" spans="1:24" ht="12.75">
      <c r="A12" s="27"/>
      <c r="B12" s="189" t="s">
        <v>29</v>
      </c>
      <c r="C12" s="29" t="s">
        <v>55</v>
      </c>
      <c r="D12" s="45">
        <v>1783519</v>
      </c>
      <c r="E12" s="45">
        <v>1800000</v>
      </c>
      <c r="F12" s="45">
        <v>1865802</v>
      </c>
      <c r="G12" s="45">
        <v>1883088</v>
      </c>
      <c r="H12" s="45">
        <v>1883088</v>
      </c>
      <c r="I12" s="45">
        <f>H12-((H47-I47)/H47)*H12</f>
        <v>1864867.1857975787</v>
      </c>
      <c r="J12" s="45">
        <v>1821970</v>
      </c>
      <c r="K12" s="45">
        <v>1773494</v>
      </c>
      <c r="L12" s="45">
        <f aca="true" t="shared" si="5" ref="L12:V12">K12-((K47-L47)/K47)*K12</f>
        <v>1712255.6773028665</v>
      </c>
      <c r="M12" s="45">
        <f t="shared" si="5"/>
        <v>1635795.0525805901</v>
      </c>
      <c r="N12" s="45">
        <f t="shared" si="5"/>
        <v>1543677.6117386692</v>
      </c>
      <c r="O12" s="45">
        <f t="shared" si="5"/>
        <v>1435460.237339755</v>
      </c>
      <c r="P12" s="45">
        <f t="shared" si="5"/>
        <v>1310691.0727613973</v>
      </c>
      <c r="Q12" s="45">
        <f t="shared" si="5"/>
        <v>1168909.386353788</v>
      </c>
      <c r="R12" s="45">
        <f t="shared" si="5"/>
        <v>1009645.4355975062</v>
      </c>
      <c r="S12" s="45">
        <f t="shared" si="5"/>
        <v>832420.2406997591</v>
      </c>
      <c r="T12" s="45">
        <f t="shared" si="5"/>
        <v>633184.9326747112</v>
      </c>
      <c r="U12" s="45">
        <f t="shared" si="5"/>
        <v>415837.32392011356</v>
      </c>
      <c r="V12" s="45">
        <f t="shared" si="5"/>
        <v>189433.56480074103</v>
      </c>
      <c r="W12" s="45">
        <v>80000</v>
      </c>
      <c r="X12" s="45">
        <v>0</v>
      </c>
    </row>
    <row r="13" spans="1:24" ht="12.75">
      <c r="A13" s="27"/>
      <c r="B13" s="190"/>
      <c r="C13" s="29" t="s">
        <v>106</v>
      </c>
      <c r="D13" s="45">
        <v>0</v>
      </c>
      <c r="E13" s="45">
        <v>658300</v>
      </c>
      <c r="F13" s="45">
        <v>658215</v>
      </c>
      <c r="G13" s="45">
        <v>657802</v>
      </c>
      <c r="H13" s="45">
        <v>594132.7</v>
      </c>
      <c r="I13" s="45">
        <v>70000</v>
      </c>
      <c r="J13" s="45">
        <v>70000</v>
      </c>
      <c r="K13" s="45">
        <v>70000</v>
      </c>
      <c r="L13" s="45">
        <v>70000</v>
      </c>
      <c r="M13" s="45">
        <v>70000</v>
      </c>
      <c r="N13" s="45">
        <v>70000</v>
      </c>
      <c r="O13" s="45">
        <v>70000</v>
      </c>
      <c r="P13" s="45">
        <v>70000</v>
      </c>
      <c r="Q13" s="45">
        <v>70000</v>
      </c>
      <c r="R13" s="45">
        <v>70000</v>
      </c>
      <c r="S13" s="45">
        <v>70000</v>
      </c>
      <c r="T13" s="45">
        <v>70000</v>
      </c>
      <c r="U13" s="45">
        <v>70000</v>
      </c>
      <c r="V13" s="45">
        <v>70000</v>
      </c>
      <c r="W13" s="45">
        <v>69990</v>
      </c>
      <c r="X13" s="45">
        <v>63343</v>
      </c>
    </row>
    <row r="14" spans="1:24" ht="12.75">
      <c r="A14" s="27"/>
      <c r="B14" s="190"/>
      <c r="C14" s="29" t="s">
        <v>48</v>
      </c>
      <c r="D14" s="115">
        <v>37022364</v>
      </c>
      <c r="E14" s="45">
        <v>39550855</v>
      </c>
      <c r="F14" s="45">
        <v>39759484</v>
      </c>
      <c r="G14" s="127">
        <v>40652058</v>
      </c>
      <c r="H14" s="127">
        <v>40652058</v>
      </c>
      <c r="I14" s="127">
        <f>H14+H14*1%</f>
        <v>41058578.58</v>
      </c>
      <c r="J14" s="127">
        <f aca="true" t="shared" si="6" ref="J14:X14">I14+I14*1%</f>
        <v>41469164.3658</v>
      </c>
      <c r="K14" s="127">
        <f t="shared" si="6"/>
        <v>41883856.009458</v>
      </c>
      <c r="L14" s="127">
        <f t="shared" si="6"/>
        <v>42302694.56955258</v>
      </c>
      <c r="M14" s="127">
        <f t="shared" si="6"/>
        <v>42725721.515248105</v>
      </c>
      <c r="N14" s="127">
        <f t="shared" si="6"/>
        <v>43152978.730400585</v>
      </c>
      <c r="O14" s="127">
        <f t="shared" si="6"/>
        <v>43584508.51770459</v>
      </c>
      <c r="P14" s="127">
        <f t="shared" si="6"/>
        <v>44020353.60288164</v>
      </c>
      <c r="Q14" s="127">
        <f t="shared" si="6"/>
        <v>44460557.13891046</v>
      </c>
      <c r="R14" s="127">
        <f t="shared" si="6"/>
        <v>44905162.71029956</v>
      </c>
      <c r="S14" s="127">
        <f t="shared" si="6"/>
        <v>45354214.33740255</v>
      </c>
      <c r="T14" s="127">
        <f t="shared" si="6"/>
        <v>45807756.48077658</v>
      </c>
      <c r="U14" s="127">
        <f t="shared" si="6"/>
        <v>46265834.04558434</v>
      </c>
      <c r="V14" s="127">
        <f t="shared" si="6"/>
        <v>46728492.38604019</v>
      </c>
      <c r="W14" s="127">
        <f t="shared" si="6"/>
        <v>47195777.30990059</v>
      </c>
      <c r="X14" s="127">
        <f t="shared" si="6"/>
        <v>47667735.082999595</v>
      </c>
    </row>
    <row r="15" spans="1:24" ht="25.5">
      <c r="A15" s="27"/>
      <c r="B15" s="190"/>
      <c r="C15" s="29" t="s">
        <v>17</v>
      </c>
      <c r="D15" s="115">
        <v>5960838</v>
      </c>
      <c r="E15" s="115">
        <v>6314799</v>
      </c>
      <c r="F15" s="115">
        <v>6377945</v>
      </c>
      <c r="G15" s="115">
        <v>6441720</v>
      </c>
      <c r="H15" s="115">
        <v>6441720</v>
      </c>
      <c r="I15" s="115">
        <f>H15+H15*1%</f>
        <v>6506137.2</v>
      </c>
      <c r="J15" s="115">
        <f aca="true" t="shared" si="7" ref="J15:W15">I15+I15*1%</f>
        <v>6571198.572000001</v>
      </c>
      <c r="K15" s="115">
        <f t="shared" si="7"/>
        <v>6636910.557720001</v>
      </c>
      <c r="L15" s="115">
        <f t="shared" si="7"/>
        <v>6703279.663297201</v>
      </c>
      <c r="M15" s="115">
        <f t="shared" si="7"/>
        <v>6770312.459930172</v>
      </c>
      <c r="N15" s="115">
        <f t="shared" si="7"/>
        <v>6838015.584529474</v>
      </c>
      <c r="O15" s="115">
        <f t="shared" si="7"/>
        <v>6906395.740374769</v>
      </c>
      <c r="P15" s="115">
        <f t="shared" si="7"/>
        <v>6975459.697778516</v>
      </c>
      <c r="Q15" s="115">
        <f t="shared" si="7"/>
        <v>7045214.294756302</v>
      </c>
      <c r="R15" s="115">
        <f t="shared" si="7"/>
        <v>7115666.437703865</v>
      </c>
      <c r="S15" s="115">
        <f t="shared" si="7"/>
        <v>7186823.102080903</v>
      </c>
      <c r="T15" s="115">
        <f t="shared" si="7"/>
        <v>7258691.333101712</v>
      </c>
      <c r="U15" s="115">
        <f t="shared" si="7"/>
        <v>7331278.246432729</v>
      </c>
      <c r="V15" s="115">
        <v>7404591</v>
      </c>
      <c r="W15" s="115">
        <f t="shared" si="7"/>
        <v>7478636.91</v>
      </c>
      <c r="X15" s="115">
        <v>7553423</v>
      </c>
    </row>
    <row r="16" spans="1:24" ht="25.5" customHeight="1">
      <c r="A16" s="27"/>
      <c r="B16" s="190"/>
      <c r="C16" s="186" t="s">
        <v>105</v>
      </c>
      <c r="D16" s="171" t="s">
        <v>45</v>
      </c>
      <c r="E16" s="158">
        <f>Przedsięwzięcia!G5+Przedsięwzięcia!G10+Przedsięwzięcia!G20</f>
        <v>919800</v>
      </c>
      <c r="F16" s="158">
        <f>Przedsięwzięcia!H5+Przedsięwzięcia!H10+Przedsięwzięcia!H20</f>
        <v>927915</v>
      </c>
      <c r="G16" s="158">
        <f>Przedsięwzięcia!I5+Przedsięwzięcia!I10+Przedsięwzięcia!I20</f>
        <v>872804</v>
      </c>
      <c r="H16" s="158">
        <f>Przedsięwzięcia!J5+Przedsięwzięcia!J10+Przedsięwzięcia!J20</f>
        <v>594132.7</v>
      </c>
      <c r="I16" s="158">
        <f>Przedsięwzięcia!K5+Przedsięwzięcia!K10+Przedsięwzięcia!K20</f>
        <v>70000</v>
      </c>
      <c r="J16" s="158">
        <f>Przedsięwzięcia!L5+Przedsięwzięcia!L10+Przedsięwzięcia!L20</f>
        <v>70000</v>
      </c>
      <c r="K16" s="158">
        <f>Przedsięwzięcia!M5+Przedsięwzięcia!M10+Przedsięwzięcia!M20</f>
        <v>70000</v>
      </c>
      <c r="L16" s="158">
        <f>Przedsięwzięcia!N5+Przedsięwzięcia!N10+Przedsięwzięcia!N20</f>
        <v>70000</v>
      </c>
      <c r="M16" s="158">
        <f>Przedsięwzięcia!O5+Przedsięwzięcia!O10+Przedsięwzięcia!O20</f>
        <v>70000</v>
      </c>
      <c r="N16" s="158">
        <f>Przedsięwzięcia!P5+Przedsięwzięcia!P10+Przedsięwzięcia!P20</f>
        <v>70000</v>
      </c>
      <c r="O16" s="158">
        <f>Przedsięwzięcia!Q5+Przedsięwzięcia!Q10+Przedsięwzięcia!Q20</f>
        <v>70000</v>
      </c>
      <c r="P16" s="158">
        <f>Przedsięwzięcia!R5+Przedsięwzięcia!R10+Przedsięwzięcia!R20</f>
        <v>70000</v>
      </c>
      <c r="Q16" s="158">
        <f>Przedsięwzięcia!S5+Przedsięwzięcia!S10+Przedsięwzięcia!S20</f>
        <v>70000</v>
      </c>
      <c r="R16" s="158">
        <f>Przedsięwzięcia!T5+Przedsięwzięcia!T10+Przedsięwzięcia!T20</f>
        <v>70000</v>
      </c>
      <c r="S16" s="158">
        <f>Przedsięwzięcia!U5+Przedsięwzięcia!U10+Przedsięwzięcia!U20</f>
        <v>70000</v>
      </c>
      <c r="T16" s="158">
        <f>Przedsięwzięcia!V5+Przedsięwzięcia!V10+Przedsięwzięcia!V20</f>
        <v>70000</v>
      </c>
      <c r="U16" s="158">
        <f>Przedsięwzięcia!W5+Przedsięwzięcia!W10+Przedsięwzięcia!W20</f>
        <v>70000</v>
      </c>
      <c r="V16" s="158">
        <f>Przedsięwzięcia!X5+Przedsięwzięcia!X10+Przedsięwzięcia!X20</f>
        <v>70000</v>
      </c>
      <c r="W16" s="158">
        <f>Przedsięwzięcia!Y5+Przedsięwzięcia!Y10+Przedsięwzięcia!Y20</f>
        <v>69990</v>
      </c>
      <c r="X16" s="158">
        <f>Przedsięwzięcia!Z5+Przedsięwzięcia!Z10+Przedsięwzięcia!Z20</f>
        <v>63343</v>
      </c>
    </row>
    <row r="17" spans="1:24" ht="25.5" customHeight="1">
      <c r="A17" s="27"/>
      <c r="B17" s="190"/>
      <c r="C17" s="187"/>
      <c r="D17" s="172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ht="25.5" customHeight="1">
      <c r="A18" s="27"/>
      <c r="B18" s="191"/>
      <c r="C18" s="188"/>
      <c r="D18" s="173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</row>
    <row r="19" spans="1:24" ht="12.75">
      <c r="A19" s="24" t="s">
        <v>23</v>
      </c>
      <c r="B19" s="25"/>
      <c r="C19" s="26" t="s">
        <v>4</v>
      </c>
      <c r="D19" s="44">
        <v>16490469</v>
      </c>
      <c r="E19" s="44">
        <v>22343663</v>
      </c>
      <c r="F19" s="44">
        <v>12894906</v>
      </c>
      <c r="G19" s="44">
        <v>11223646</v>
      </c>
      <c r="H19" s="44">
        <v>10399897</v>
      </c>
      <c r="I19" s="44">
        <v>9237895</v>
      </c>
      <c r="J19" s="44">
        <v>9376463</v>
      </c>
      <c r="K19" s="44">
        <v>9520132</v>
      </c>
      <c r="L19" s="44">
        <f>K19+K19*1.5%</f>
        <v>9662933.98</v>
      </c>
      <c r="M19" s="44">
        <v>9810901</v>
      </c>
      <c r="N19" s="44">
        <f>M19+M19*1.5%</f>
        <v>9958064.515</v>
      </c>
      <c r="O19" s="44">
        <v>10110458</v>
      </c>
      <c r="P19" s="44">
        <v>10263615</v>
      </c>
      <c r="Q19" s="44">
        <v>10417569</v>
      </c>
      <c r="R19" s="44">
        <f>Q19+Q19*1.5%</f>
        <v>10573832.535</v>
      </c>
      <c r="S19" s="44">
        <f>R19+R19*1.5%</f>
        <v>10732440.023025</v>
      </c>
      <c r="T19" s="44">
        <v>10799564</v>
      </c>
      <c r="U19" s="44">
        <v>10961558</v>
      </c>
      <c r="V19" s="44">
        <v>11332025</v>
      </c>
      <c r="W19" s="44">
        <f>V19+V19*1.5%</f>
        <v>11502005.375</v>
      </c>
      <c r="X19" s="44">
        <v>14671417</v>
      </c>
    </row>
    <row r="20" spans="1:24" ht="31.5">
      <c r="A20" s="27"/>
      <c r="B20" s="31" t="s">
        <v>29</v>
      </c>
      <c r="C20" s="123" t="s">
        <v>105</v>
      </c>
      <c r="D20" s="129" t="s">
        <v>45</v>
      </c>
      <c r="E20" s="48">
        <f>Przedsięwzięcia!G17</f>
        <v>5489334</v>
      </c>
      <c r="F20" s="48">
        <f>Przedsięwzięcia!H17</f>
        <v>11307432</v>
      </c>
      <c r="G20" s="48">
        <f>Przedsięwzięcia!I17</f>
        <v>3961925</v>
      </c>
      <c r="H20" s="48">
        <f>Przedsięwzięcia!J17</f>
        <v>0</v>
      </c>
      <c r="I20" s="48">
        <f>Przedsięwzięcia!K17</f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30" t="s">
        <v>25</v>
      </c>
      <c r="B21" s="150" t="s">
        <v>6</v>
      </c>
      <c r="C21" s="151"/>
      <c r="D21" s="46">
        <f>D22+D26+D27+D28</f>
        <v>14641478</v>
      </c>
      <c r="E21" s="46">
        <f aca="true" t="shared" si="8" ref="E21:L21">E22+E26+E27+E28</f>
        <v>10873230</v>
      </c>
      <c r="F21" s="46">
        <f t="shared" si="8"/>
        <v>4700000</v>
      </c>
      <c r="G21" s="46">
        <f t="shared" si="8"/>
        <v>3200000</v>
      </c>
      <c r="H21" s="46">
        <f t="shared" si="8"/>
        <v>3500000</v>
      </c>
      <c r="I21" s="46">
        <f t="shared" si="8"/>
        <v>3200380</v>
      </c>
      <c r="J21" s="46">
        <f t="shared" si="8"/>
        <v>2891889</v>
      </c>
      <c r="K21" s="46">
        <f t="shared" si="8"/>
        <v>2574351</v>
      </c>
      <c r="L21" s="46">
        <f t="shared" si="8"/>
        <v>2247586</v>
      </c>
      <c r="M21" s="46">
        <f aca="true" t="shared" si="9" ref="M21:X21">M22+M26+M27+M28</f>
        <v>1911410</v>
      </c>
      <c r="N21" s="46">
        <f t="shared" si="9"/>
        <v>1565638</v>
      </c>
      <c r="O21" s="46">
        <f t="shared" si="9"/>
        <v>1210080</v>
      </c>
      <c r="P21" s="46">
        <f t="shared" si="9"/>
        <v>844543</v>
      </c>
      <c r="Q21" s="46">
        <f t="shared" si="9"/>
        <v>468831</v>
      </c>
      <c r="R21" s="46">
        <f t="shared" si="9"/>
        <v>82745</v>
      </c>
      <c r="S21" s="46">
        <f t="shared" si="9"/>
        <v>186081</v>
      </c>
      <c r="T21" s="46">
        <f t="shared" si="9"/>
        <v>0</v>
      </c>
      <c r="U21" s="46">
        <f>U22+U26+U27+U28</f>
        <v>0</v>
      </c>
      <c r="V21" s="46">
        <f t="shared" si="9"/>
        <v>0</v>
      </c>
      <c r="W21" s="46">
        <f t="shared" si="9"/>
        <v>0</v>
      </c>
      <c r="X21" s="46">
        <f t="shared" si="9"/>
        <v>0</v>
      </c>
    </row>
    <row r="22" spans="1:24" ht="12.75">
      <c r="A22" s="24" t="s">
        <v>22</v>
      </c>
      <c r="B22" s="25"/>
      <c r="C22" s="26" t="s">
        <v>7</v>
      </c>
      <c r="D22" s="47">
        <f>D23+D24+D25</f>
        <v>9900000</v>
      </c>
      <c r="E22" s="47">
        <f aca="true" t="shared" si="10" ref="E22:L22">E23+E24+E25</f>
        <v>6000000</v>
      </c>
      <c r="F22" s="47">
        <f t="shared" si="10"/>
        <v>4700000</v>
      </c>
      <c r="G22" s="47">
        <f t="shared" si="10"/>
        <v>3200000</v>
      </c>
      <c r="H22" s="47">
        <f t="shared" si="10"/>
        <v>3500000</v>
      </c>
      <c r="I22" s="47">
        <f t="shared" si="10"/>
        <v>3200380</v>
      </c>
      <c r="J22" s="47">
        <f t="shared" si="10"/>
        <v>2891889</v>
      </c>
      <c r="K22" s="47">
        <f t="shared" si="10"/>
        <v>2574351</v>
      </c>
      <c r="L22" s="47">
        <f t="shared" si="10"/>
        <v>2247586</v>
      </c>
      <c r="M22" s="47">
        <f aca="true" t="shared" si="11" ref="M22:X22">M23+M24+M25</f>
        <v>1911410</v>
      </c>
      <c r="N22" s="47">
        <f t="shared" si="11"/>
        <v>1565638</v>
      </c>
      <c r="O22" s="47">
        <f t="shared" si="11"/>
        <v>1210080</v>
      </c>
      <c r="P22" s="47">
        <f t="shared" si="11"/>
        <v>844543</v>
      </c>
      <c r="Q22" s="47">
        <f t="shared" si="11"/>
        <v>468831</v>
      </c>
      <c r="R22" s="47">
        <f t="shared" si="11"/>
        <v>82745</v>
      </c>
      <c r="S22" s="47">
        <f t="shared" si="11"/>
        <v>186081</v>
      </c>
      <c r="T22" s="47">
        <f t="shared" si="11"/>
        <v>0</v>
      </c>
      <c r="U22" s="47">
        <f t="shared" si="11"/>
        <v>0</v>
      </c>
      <c r="V22" s="47">
        <f t="shared" si="11"/>
        <v>0</v>
      </c>
      <c r="W22" s="47">
        <f t="shared" si="11"/>
        <v>0</v>
      </c>
      <c r="X22" s="47">
        <f t="shared" si="11"/>
        <v>0</v>
      </c>
    </row>
    <row r="23" spans="1:24" ht="12.75">
      <c r="A23" s="27"/>
      <c r="B23" s="183" t="s">
        <v>29</v>
      </c>
      <c r="C23" s="29" t="s">
        <v>8</v>
      </c>
      <c r="D23" s="45"/>
      <c r="E23" s="45"/>
      <c r="F23" s="45">
        <v>1500000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2.75">
      <c r="A24" s="27"/>
      <c r="B24" s="184"/>
      <c r="C24" s="29" t="s">
        <v>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200380</v>
      </c>
      <c r="J24" s="45">
        <v>391889</v>
      </c>
      <c r="K24" s="45">
        <v>74351</v>
      </c>
      <c r="L24" s="45">
        <v>247586</v>
      </c>
      <c r="M24" s="45">
        <v>411410</v>
      </c>
      <c r="N24" s="45">
        <v>65638</v>
      </c>
      <c r="O24" s="45">
        <v>10080</v>
      </c>
      <c r="P24" s="45">
        <v>344543</v>
      </c>
      <c r="Q24" s="45">
        <v>468831</v>
      </c>
      <c r="R24" s="45">
        <v>82745</v>
      </c>
      <c r="S24" s="45">
        <v>186081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</row>
    <row r="25" spans="1:24" ht="12.75">
      <c r="A25" s="27"/>
      <c r="B25" s="185"/>
      <c r="C25" s="29" t="s">
        <v>10</v>
      </c>
      <c r="D25" s="45">
        <v>9900000</v>
      </c>
      <c r="E25" s="45">
        <v>6000000</v>
      </c>
      <c r="F25" s="45">
        <v>3200000</v>
      </c>
      <c r="G25" s="45">
        <v>3200000</v>
      </c>
      <c r="H25" s="45">
        <v>3500000</v>
      </c>
      <c r="I25" s="45">
        <v>3000000</v>
      </c>
      <c r="J25" s="45">
        <v>2500000</v>
      </c>
      <c r="K25" s="45">
        <v>2500000</v>
      </c>
      <c r="L25" s="45">
        <v>2000000</v>
      </c>
      <c r="M25" s="45">
        <v>1500000</v>
      </c>
      <c r="N25" s="45">
        <v>1500000</v>
      </c>
      <c r="O25" s="45">
        <v>1200000</v>
      </c>
      <c r="P25" s="45">
        <v>500000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</row>
    <row r="26" spans="1:24" ht="12.75">
      <c r="A26" s="24" t="s">
        <v>23</v>
      </c>
      <c r="B26" s="25"/>
      <c r="C26" s="26" t="s">
        <v>11</v>
      </c>
      <c r="D26" s="44">
        <v>0</v>
      </c>
      <c r="E26" s="44">
        <v>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24" t="s">
        <v>26</v>
      </c>
      <c r="B27" s="25"/>
      <c r="C27" s="26" t="s">
        <v>12</v>
      </c>
      <c r="D27" s="44">
        <v>0</v>
      </c>
      <c r="E27" s="44"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24" t="s">
        <v>27</v>
      </c>
      <c r="B28" s="25"/>
      <c r="C28" s="26" t="s">
        <v>13</v>
      </c>
      <c r="D28" s="44">
        <v>4741478</v>
      </c>
      <c r="E28" s="44">
        <v>4873230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30" t="s">
        <v>28</v>
      </c>
      <c r="B29" s="150" t="s">
        <v>14</v>
      </c>
      <c r="C29" s="151"/>
      <c r="D29" s="46">
        <f>D30+D34</f>
        <v>2400000</v>
      </c>
      <c r="E29" s="46">
        <f aca="true" t="shared" si="12" ref="E29:L29">E30+E34</f>
        <v>3000000</v>
      </c>
      <c r="F29" s="46">
        <f t="shared" si="12"/>
        <v>3200000</v>
      </c>
      <c r="G29" s="46">
        <f t="shared" si="12"/>
        <v>3200000</v>
      </c>
      <c r="H29" s="46">
        <f t="shared" si="12"/>
        <v>3500000</v>
      </c>
      <c r="I29" s="46">
        <f t="shared" si="12"/>
        <v>3600000</v>
      </c>
      <c r="J29" s="46">
        <f t="shared" si="12"/>
        <v>3600000</v>
      </c>
      <c r="K29" s="46">
        <f t="shared" si="12"/>
        <v>3600000</v>
      </c>
      <c r="L29" s="46">
        <f t="shared" si="12"/>
        <v>3600000</v>
      </c>
      <c r="M29" s="46">
        <f aca="true" t="shared" si="13" ref="M29:X29">M30+M34</f>
        <v>3600000</v>
      </c>
      <c r="N29" s="46">
        <f t="shared" si="13"/>
        <v>3600000</v>
      </c>
      <c r="O29" s="46">
        <f t="shared" si="13"/>
        <v>3600000</v>
      </c>
      <c r="P29" s="46">
        <f t="shared" si="13"/>
        <v>3600000</v>
      </c>
      <c r="Q29" s="46">
        <f t="shared" si="13"/>
        <v>3600000</v>
      </c>
      <c r="R29" s="46">
        <f t="shared" si="13"/>
        <v>3600000</v>
      </c>
      <c r="S29" s="46">
        <f t="shared" si="13"/>
        <v>4100000</v>
      </c>
      <c r="T29" s="46">
        <f t="shared" si="13"/>
        <v>4400000</v>
      </c>
      <c r="U29" s="46">
        <f t="shared" si="13"/>
        <v>4800000</v>
      </c>
      <c r="V29" s="46">
        <f t="shared" si="13"/>
        <v>5000000</v>
      </c>
      <c r="W29" s="46">
        <f t="shared" si="13"/>
        <v>4183534</v>
      </c>
      <c r="X29" s="46">
        <f t="shared" si="13"/>
        <v>0</v>
      </c>
    </row>
    <row r="30" spans="1:24" ht="12.75">
      <c r="A30" s="24" t="s">
        <v>22</v>
      </c>
      <c r="B30" s="25"/>
      <c r="C30" s="26" t="s">
        <v>56</v>
      </c>
      <c r="D30" s="47">
        <f>D31+D32+D33</f>
        <v>2400000</v>
      </c>
      <c r="E30" s="47">
        <f aca="true" t="shared" si="14" ref="E30:L30">E31+E32+E33</f>
        <v>3000000</v>
      </c>
      <c r="F30" s="47">
        <f>F31+F32+F33</f>
        <v>3200000</v>
      </c>
      <c r="G30" s="47">
        <f t="shared" si="14"/>
        <v>3200000</v>
      </c>
      <c r="H30" s="47">
        <f t="shared" si="14"/>
        <v>3500000</v>
      </c>
      <c r="I30" s="47">
        <f t="shared" si="14"/>
        <v>3600000</v>
      </c>
      <c r="J30" s="47">
        <f>J31+J32+J33</f>
        <v>3600000</v>
      </c>
      <c r="K30" s="47">
        <f t="shared" si="14"/>
        <v>3600000</v>
      </c>
      <c r="L30" s="47">
        <f t="shared" si="14"/>
        <v>3600000</v>
      </c>
      <c r="M30" s="47">
        <f aca="true" t="shared" si="15" ref="M30:X30">M31+M32+M33</f>
        <v>3600000</v>
      </c>
      <c r="N30" s="47">
        <f t="shared" si="15"/>
        <v>3600000</v>
      </c>
      <c r="O30" s="47">
        <f t="shared" si="15"/>
        <v>3600000</v>
      </c>
      <c r="P30" s="47">
        <f t="shared" si="15"/>
        <v>3600000</v>
      </c>
      <c r="Q30" s="47">
        <f t="shared" si="15"/>
        <v>3600000</v>
      </c>
      <c r="R30" s="47">
        <f t="shared" si="15"/>
        <v>3600000</v>
      </c>
      <c r="S30" s="47">
        <f t="shared" si="15"/>
        <v>4100000</v>
      </c>
      <c r="T30" s="47">
        <f t="shared" si="15"/>
        <v>4400000</v>
      </c>
      <c r="U30" s="47">
        <f t="shared" si="15"/>
        <v>4800000</v>
      </c>
      <c r="V30" s="47">
        <f t="shared" si="15"/>
        <v>5000000</v>
      </c>
      <c r="W30" s="47">
        <f t="shared" si="15"/>
        <v>4183534</v>
      </c>
      <c r="X30" s="47">
        <f t="shared" si="15"/>
        <v>0</v>
      </c>
    </row>
    <row r="31" spans="1:24" ht="12.75">
      <c r="A31" s="27"/>
      <c r="B31" s="183" t="s">
        <v>29</v>
      </c>
      <c r="C31" s="29" t="s">
        <v>8</v>
      </c>
      <c r="D31" s="45"/>
      <c r="E31" s="45"/>
      <c r="F31" s="45"/>
      <c r="G31" s="45"/>
      <c r="H31" s="45"/>
      <c r="I31" s="45">
        <v>100000</v>
      </c>
      <c r="J31" s="45">
        <v>100000</v>
      </c>
      <c r="K31" s="45">
        <v>100000</v>
      </c>
      <c r="L31" s="45">
        <v>100000</v>
      </c>
      <c r="M31" s="45">
        <v>100000</v>
      </c>
      <c r="N31" s="45">
        <v>100000</v>
      </c>
      <c r="O31" s="45">
        <v>100000</v>
      </c>
      <c r="P31" s="45">
        <v>100000</v>
      </c>
      <c r="Q31" s="45">
        <v>100000</v>
      </c>
      <c r="R31" s="45">
        <v>100000</v>
      </c>
      <c r="S31" s="45">
        <v>100000</v>
      </c>
      <c r="T31" s="45">
        <v>200000</v>
      </c>
      <c r="U31" s="45">
        <v>200000</v>
      </c>
      <c r="V31" s="45">
        <v>0</v>
      </c>
      <c r="W31" s="45">
        <v>0</v>
      </c>
      <c r="X31" s="45">
        <v>0</v>
      </c>
    </row>
    <row r="32" spans="1:24" ht="12.75">
      <c r="A32" s="27"/>
      <c r="B32" s="184"/>
      <c r="C32" s="29" t="s">
        <v>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2483534</v>
      </c>
      <c r="X32" s="45">
        <v>0</v>
      </c>
    </row>
    <row r="33" spans="1:24" ht="12.75">
      <c r="A33" s="27"/>
      <c r="B33" s="185"/>
      <c r="C33" s="29" t="s">
        <v>15</v>
      </c>
      <c r="D33" s="45">
        <v>2400000</v>
      </c>
      <c r="E33" s="45">
        <v>3000000</v>
      </c>
      <c r="F33" s="45">
        <v>3200000</v>
      </c>
      <c r="G33" s="45">
        <v>3200000</v>
      </c>
      <c r="H33" s="45">
        <v>3500000</v>
      </c>
      <c r="I33" s="45">
        <v>3500000</v>
      </c>
      <c r="J33" s="45">
        <v>3500000</v>
      </c>
      <c r="K33" s="45">
        <v>3500000</v>
      </c>
      <c r="L33" s="45">
        <v>3500000</v>
      </c>
      <c r="M33" s="45">
        <v>3500000</v>
      </c>
      <c r="N33" s="45">
        <v>3500000</v>
      </c>
      <c r="O33" s="45">
        <v>3500000</v>
      </c>
      <c r="P33" s="45">
        <v>3500000</v>
      </c>
      <c r="Q33" s="45">
        <v>3500000</v>
      </c>
      <c r="R33" s="45">
        <v>3500000</v>
      </c>
      <c r="S33" s="45">
        <v>4000000</v>
      </c>
      <c r="T33" s="45">
        <v>4200000</v>
      </c>
      <c r="U33" s="45">
        <v>4600000</v>
      </c>
      <c r="V33" s="45">
        <v>5000000</v>
      </c>
      <c r="W33" s="45">
        <v>1700000</v>
      </c>
      <c r="X33" s="45">
        <v>0</v>
      </c>
    </row>
    <row r="34" spans="1:24" ht="12.75">
      <c r="A34" s="24" t="s">
        <v>23</v>
      </c>
      <c r="B34" s="25"/>
      <c r="C34" s="26" t="s">
        <v>30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30" t="s">
        <v>31</v>
      </c>
      <c r="B35" s="150" t="s">
        <v>16</v>
      </c>
      <c r="C35" s="151"/>
      <c r="D35" s="46">
        <f aca="true" t="shared" si="16" ref="D35:L35">D6-D10</f>
        <v>-7368248</v>
      </c>
      <c r="E35" s="46">
        <f t="shared" si="16"/>
        <v>-7873230.450000003</v>
      </c>
      <c r="F35" s="46">
        <f t="shared" si="16"/>
        <v>-1500000</v>
      </c>
      <c r="G35" s="46">
        <f t="shared" si="16"/>
        <v>0.2199999988079071</v>
      </c>
      <c r="H35" s="46">
        <f t="shared" si="16"/>
        <v>0</v>
      </c>
      <c r="I35" s="46">
        <f t="shared" si="16"/>
        <v>399619.51000000536</v>
      </c>
      <c r="J35" s="46">
        <f t="shared" si="16"/>
        <v>708111.0600000024</v>
      </c>
      <c r="K35" s="46">
        <f t="shared" si="16"/>
        <v>1025649.3559000045</v>
      </c>
      <c r="L35" s="46">
        <f t="shared" si="16"/>
        <v>1352413.7312384993</v>
      </c>
      <c r="M35" s="46">
        <f aca="true" t="shared" si="17" ref="M35:X35">M6-M10</f>
        <v>1688590.4469070882</v>
      </c>
      <c r="N35" s="46">
        <f t="shared" si="17"/>
        <v>2034361.9336106926</v>
      </c>
      <c r="O35" s="46">
        <f t="shared" si="17"/>
        <v>2389920.23533985</v>
      </c>
      <c r="P35" s="46">
        <f t="shared" si="17"/>
        <v>2755457.028869942</v>
      </c>
      <c r="Q35" s="46">
        <f t="shared" si="17"/>
        <v>3131168.8243029863</v>
      </c>
      <c r="R35" s="46">
        <f t="shared" si="17"/>
        <v>3517254.9266675413</v>
      </c>
      <c r="S35" s="46">
        <f t="shared" si="17"/>
        <v>3913918.6755675375</v>
      </c>
      <c r="T35" s="46">
        <f t="shared" si="17"/>
        <v>4400000</v>
      </c>
      <c r="U35" s="46">
        <f t="shared" si="17"/>
        <v>4800000</v>
      </c>
      <c r="V35" s="46">
        <f t="shared" si="17"/>
        <v>5000000</v>
      </c>
      <c r="W35" s="46">
        <f t="shared" si="17"/>
        <v>4183533.694999993</v>
      </c>
      <c r="X35" s="46">
        <f t="shared" si="17"/>
        <v>0</v>
      </c>
    </row>
    <row r="36" spans="1:24" ht="12.75">
      <c r="A36" s="30" t="s">
        <v>32</v>
      </c>
      <c r="B36" s="150" t="s">
        <v>18</v>
      </c>
      <c r="C36" s="151"/>
      <c r="D36" s="46">
        <f>D37+D38+D39+D40+D41+D42</f>
        <v>7368248</v>
      </c>
      <c r="E36" s="46">
        <f aca="true" t="shared" si="18" ref="E36:L36">E37+E38+E39+E40+E41+E42</f>
        <v>7873230.450000003</v>
      </c>
      <c r="F36" s="46">
        <f t="shared" si="18"/>
        <v>1500000</v>
      </c>
      <c r="G36" s="46">
        <f t="shared" si="18"/>
        <v>0</v>
      </c>
      <c r="H36" s="46">
        <f t="shared" si="18"/>
        <v>0</v>
      </c>
      <c r="I36" s="46">
        <f t="shared" si="18"/>
        <v>0</v>
      </c>
      <c r="J36" s="46">
        <f t="shared" si="18"/>
        <v>0</v>
      </c>
      <c r="K36" s="46">
        <f t="shared" si="18"/>
        <v>0</v>
      </c>
      <c r="L36" s="46">
        <f t="shared" si="18"/>
        <v>0</v>
      </c>
      <c r="M36" s="46">
        <f aca="true" t="shared" si="19" ref="M36:X36">M37+M38+M39+M40+M41+M42</f>
        <v>0</v>
      </c>
      <c r="N36" s="46">
        <f t="shared" si="19"/>
        <v>0</v>
      </c>
      <c r="O36" s="46">
        <f t="shared" si="19"/>
        <v>0</v>
      </c>
      <c r="P36" s="46">
        <f t="shared" si="19"/>
        <v>0</v>
      </c>
      <c r="Q36" s="46">
        <f t="shared" si="19"/>
        <v>0</v>
      </c>
      <c r="R36" s="46">
        <f t="shared" si="19"/>
        <v>0</v>
      </c>
      <c r="S36" s="46">
        <f t="shared" si="19"/>
        <v>0</v>
      </c>
      <c r="T36" s="46">
        <f t="shared" si="19"/>
        <v>0</v>
      </c>
      <c r="U36" s="46">
        <f t="shared" si="19"/>
        <v>0</v>
      </c>
      <c r="V36" s="46">
        <f t="shared" si="19"/>
        <v>0</v>
      </c>
      <c r="W36" s="46">
        <f t="shared" si="19"/>
        <v>0</v>
      </c>
      <c r="X36" s="46">
        <f t="shared" si="19"/>
        <v>0</v>
      </c>
    </row>
    <row r="37" spans="1:24" ht="12.75">
      <c r="A37" s="27"/>
      <c r="B37" s="32"/>
      <c r="C37" s="33" t="s">
        <v>8</v>
      </c>
      <c r="D37" s="48">
        <f>IF(D35&lt;0,IF(D23&gt;(-D35),(-D35),D23),0)</f>
        <v>0</v>
      </c>
      <c r="E37" s="48">
        <f aca="true" t="shared" si="20" ref="E37:L37">IF(E35&lt;0,IF(E23&gt;(-E35),(-E35),E23),0)</f>
        <v>0</v>
      </c>
      <c r="F37" s="48">
        <f t="shared" si="20"/>
        <v>1500000</v>
      </c>
      <c r="G37" s="48">
        <f t="shared" si="20"/>
        <v>0</v>
      </c>
      <c r="H37" s="48">
        <f t="shared" si="20"/>
        <v>0</v>
      </c>
      <c r="I37" s="48">
        <f t="shared" si="20"/>
        <v>0</v>
      </c>
      <c r="J37" s="48">
        <f t="shared" si="20"/>
        <v>0</v>
      </c>
      <c r="K37" s="48">
        <f t="shared" si="20"/>
        <v>0</v>
      </c>
      <c r="L37" s="48">
        <f t="shared" si="20"/>
        <v>0</v>
      </c>
      <c r="M37" s="48">
        <f aca="true" t="shared" si="21" ref="M37:X37">IF(M35&lt;0,IF(M23&gt;(-M35),(-M35),M23),0)</f>
        <v>0</v>
      </c>
      <c r="N37" s="48">
        <f t="shared" si="21"/>
        <v>0</v>
      </c>
      <c r="O37" s="48">
        <f t="shared" si="21"/>
        <v>0</v>
      </c>
      <c r="P37" s="48">
        <f t="shared" si="21"/>
        <v>0</v>
      </c>
      <c r="Q37" s="48">
        <f t="shared" si="21"/>
        <v>0</v>
      </c>
      <c r="R37" s="48">
        <f t="shared" si="21"/>
        <v>0</v>
      </c>
      <c r="S37" s="48">
        <f t="shared" si="21"/>
        <v>0</v>
      </c>
      <c r="T37" s="48">
        <f t="shared" si="21"/>
        <v>0</v>
      </c>
      <c r="U37" s="48">
        <f t="shared" si="21"/>
        <v>0</v>
      </c>
      <c r="V37" s="48">
        <f t="shared" si="21"/>
        <v>0</v>
      </c>
      <c r="W37" s="48">
        <f t="shared" si="21"/>
        <v>0</v>
      </c>
      <c r="X37" s="48">
        <f t="shared" si="21"/>
        <v>0</v>
      </c>
    </row>
    <row r="38" spans="1:24" ht="12.75">
      <c r="A38" s="27"/>
      <c r="B38" s="32"/>
      <c r="C38" s="33" t="s">
        <v>9</v>
      </c>
      <c r="D38" s="48">
        <f>IF((D37+D35)&lt;0,IF(D24&gt;(-D35-D37),(-D35-D37),D24),0)</f>
        <v>0</v>
      </c>
      <c r="E38" s="48">
        <f aca="true" t="shared" si="22" ref="E38:X38">IF((E37+E35)&lt;0,IF(E24&gt;(-E35-E37),(-E35-E37),E24),0)</f>
        <v>0</v>
      </c>
      <c r="F38" s="48">
        <f t="shared" si="22"/>
        <v>0</v>
      </c>
      <c r="G38" s="48">
        <f t="shared" si="22"/>
        <v>0</v>
      </c>
      <c r="H38" s="48">
        <f t="shared" si="22"/>
        <v>0</v>
      </c>
      <c r="I38" s="48">
        <f t="shared" si="22"/>
        <v>0</v>
      </c>
      <c r="J38" s="48">
        <f t="shared" si="22"/>
        <v>0</v>
      </c>
      <c r="K38" s="48">
        <f t="shared" si="22"/>
        <v>0</v>
      </c>
      <c r="L38" s="48">
        <f t="shared" si="22"/>
        <v>0</v>
      </c>
      <c r="M38" s="48">
        <f t="shared" si="22"/>
        <v>0</v>
      </c>
      <c r="N38" s="48">
        <f t="shared" si="22"/>
        <v>0</v>
      </c>
      <c r="O38" s="48">
        <f t="shared" si="22"/>
        <v>0</v>
      </c>
      <c r="P38" s="48">
        <f t="shared" si="22"/>
        <v>0</v>
      </c>
      <c r="Q38" s="48">
        <f t="shared" si="22"/>
        <v>0</v>
      </c>
      <c r="R38" s="48">
        <f t="shared" si="22"/>
        <v>0</v>
      </c>
      <c r="S38" s="48">
        <f t="shared" si="22"/>
        <v>0</v>
      </c>
      <c r="T38" s="48">
        <f t="shared" si="22"/>
        <v>0</v>
      </c>
      <c r="U38" s="48">
        <f t="shared" si="22"/>
        <v>0</v>
      </c>
      <c r="V38" s="48">
        <f t="shared" si="22"/>
        <v>0</v>
      </c>
      <c r="W38" s="48">
        <f t="shared" si="22"/>
        <v>0</v>
      </c>
      <c r="X38" s="48">
        <f t="shared" si="22"/>
        <v>0</v>
      </c>
    </row>
    <row r="39" spans="1:24" ht="12.75">
      <c r="A39" s="27"/>
      <c r="B39" s="32"/>
      <c r="C39" s="33" t="s">
        <v>10</v>
      </c>
      <c r="D39" s="48">
        <f>IF((D37+D35+D38)&lt;0,IF(D25&gt;(-D35-D37-D38),(-D35-D37-D38),D25),0)</f>
        <v>7368248</v>
      </c>
      <c r="E39" s="48">
        <f aca="true" t="shared" si="23" ref="E39:X39">IF((E37+E35+E38)&lt;0,IF(E25&gt;(-E35-E37-E38),(-E35-E37-E38),E25),0)</f>
        <v>6000000</v>
      </c>
      <c r="F39" s="48">
        <f t="shared" si="23"/>
        <v>0</v>
      </c>
      <c r="G39" s="48">
        <f t="shared" si="23"/>
        <v>0</v>
      </c>
      <c r="H39" s="48">
        <f t="shared" si="23"/>
        <v>0</v>
      </c>
      <c r="I39" s="48">
        <f t="shared" si="23"/>
        <v>0</v>
      </c>
      <c r="J39" s="48">
        <f t="shared" si="23"/>
        <v>0</v>
      </c>
      <c r="K39" s="48">
        <f t="shared" si="23"/>
        <v>0</v>
      </c>
      <c r="L39" s="48">
        <f t="shared" si="23"/>
        <v>0</v>
      </c>
      <c r="M39" s="48">
        <f t="shared" si="23"/>
        <v>0</v>
      </c>
      <c r="N39" s="48">
        <f t="shared" si="23"/>
        <v>0</v>
      </c>
      <c r="O39" s="48">
        <f t="shared" si="23"/>
        <v>0</v>
      </c>
      <c r="P39" s="48">
        <f t="shared" si="23"/>
        <v>0</v>
      </c>
      <c r="Q39" s="48">
        <f t="shared" si="23"/>
        <v>0</v>
      </c>
      <c r="R39" s="48">
        <f t="shared" si="23"/>
        <v>0</v>
      </c>
      <c r="S39" s="48">
        <f t="shared" si="23"/>
        <v>0</v>
      </c>
      <c r="T39" s="48">
        <f t="shared" si="23"/>
        <v>0</v>
      </c>
      <c r="U39" s="48">
        <f t="shared" si="23"/>
        <v>0</v>
      </c>
      <c r="V39" s="48">
        <f t="shared" si="23"/>
        <v>0</v>
      </c>
      <c r="W39" s="48">
        <f t="shared" si="23"/>
        <v>0</v>
      </c>
      <c r="X39" s="48">
        <f t="shared" si="23"/>
        <v>0</v>
      </c>
    </row>
    <row r="40" spans="1:24" ht="12.75">
      <c r="A40" s="27"/>
      <c r="B40" s="32"/>
      <c r="C40" s="33" t="s">
        <v>11</v>
      </c>
      <c r="D40" s="48">
        <f>IF((D37+D35+D38+D39)&lt;0,IF(D26&gt;(-D35-D37-D38-D39),(-D35-D37-D38-D39),D26),0)</f>
        <v>0</v>
      </c>
      <c r="E40" s="48">
        <f aca="true" t="shared" si="24" ref="E40:X40">IF((E37+E35+E38+E39)&lt;0,IF(E26&gt;(-E35-E37-E38-E39),(-E35-E37-E38-E39),E26),0)</f>
        <v>0</v>
      </c>
      <c r="F40" s="48">
        <f t="shared" si="24"/>
        <v>0</v>
      </c>
      <c r="G40" s="48">
        <f t="shared" si="24"/>
        <v>0</v>
      </c>
      <c r="H40" s="48">
        <f t="shared" si="24"/>
        <v>0</v>
      </c>
      <c r="I40" s="48">
        <f t="shared" si="24"/>
        <v>0</v>
      </c>
      <c r="J40" s="48">
        <f t="shared" si="24"/>
        <v>0</v>
      </c>
      <c r="K40" s="48">
        <f t="shared" si="24"/>
        <v>0</v>
      </c>
      <c r="L40" s="48">
        <f t="shared" si="24"/>
        <v>0</v>
      </c>
      <c r="M40" s="48">
        <f t="shared" si="24"/>
        <v>0</v>
      </c>
      <c r="N40" s="48">
        <f t="shared" si="24"/>
        <v>0</v>
      </c>
      <c r="O40" s="48">
        <f t="shared" si="24"/>
        <v>0</v>
      </c>
      <c r="P40" s="48">
        <f t="shared" si="24"/>
        <v>0</v>
      </c>
      <c r="Q40" s="48">
        <f t="shared" si="24"/>
        <v>0</v>
      </c>
      <c r="R40" s="48">
        <f t="shared" si="24"/>
        <v>0</v>
      </c>
      <c r="S40" s="48">
        <f t="shared" si="24"/>
        <v>0</v>
      </c>
      <c r="T40" s="48">
        <f t="shared" si="24"/>
        <v>0</v>
      </c>
      <c r="U40" s="48">
        <f t="shared" si="24"/>
        <v>0</v>
      </c>
      <c r="V40" s="48">
        <f t="shared" si="24"/>
        <v>0</v>
      </c>
      <c r="W40" s="48">
        <f t="shared" si="24"/>
        <v>0</v>
      </c>
      <c r="X40" s="48">
        <f t="shared" si="24"/>
        <v>0</v>
      </c>
    </row>
    <row r="41" spans="1:24" ht="12.75">
      <c r="A41" s="27"/>
      <c r="B41" s="32"/>
      <c r="C41" s="33" t="s">
        <v>12</v>
      </c>
      <c r="D41" s="48">
        <f>IF((D37+D35+D38+D39+D40)&lt;0,IF(D27&gt;(-D35-D37-D38-D39-D40),(-D35-D37-D38-D39-D40),D27),0)</f>
        <v>0</v>
      </c>
      <c r="E41" s="48">
        <f aca="true" t="shared" si="25" ref="E41:X41">IF((E37+E35+E38+E39+E40)&lt;0,IF(E27&gt;(-E35-E37-E38-E39-E40),(-E35-E37-E38-E39-E40),E27),0)</f>
        <v>0</v>
      </c>
      <c r="F41" s="48">
        <f t="shared" si="25"/>
        <v>0</v>
      </c>
      <c r="G41" s="48">
        <f t="shared" si="25"/>
        <v>0</v>
      </c>
      <c r="H41" s="48">
        <f t="shared" si="25"/>
        <v>0</v>
      </c>
      <c r="I41" s="48">
        <f t="shared" si="25"/>
        <v>0</v>
      </c>
      <c r="J41" s="48">
        <f t="shared" si="25"/>
        <v>0</v>
      </c>
      <c r="K41" s="48">
        <f t="shared" si="25"/>
        <v>0</v>
      </c>
      <c r="L41" s="48">
        <f t="shared" si="25"/>
        <v>0</v>
      </c>
      <c r="M41" s="48">
        <f t="shared" si="25"/>
        <v>0</v>
      </c>
      <c r="N41" s="48">
        <f t="shared" si="25"/>
        <v>0</v>
      </c>
      <c r="O41" s="48">
        <f t="shared" si="25"/>
        <v>0</v>
      </c>
      <c r="P41" s="48">
        <f t="shared" si="25"/>
        <v>0</v>
      </c>
      <c r="Q41" s="48">
        <f t="shared" si="25"/>
        <v>0</v>
      </c>
      <c r="R41" s="48">
        <f t="shared" si="25"/>
        <v>0</v>
      </c>
      <c r="S41" s="48">
        <f t="shared" si="25"/>
        <v>0</v>
      </c>
      <c r="T41" s="48">
        <f t="shared" si="25"/>
        <v>0</v>
      </c>
      <c r="U41" s="48">
        <f>IF((U37+U35+U38+U39+U40)&lt;0,IF(U27&gt;(-U35-U37-U38-U39-U40),(-U35-U37-U38-U39-U40),U27),0)</f>
        <v>0</v>
      </c>
      <c r="V41" s="48">
        <f t="shared" si="25"/>
        <v>0</v>
      </c>
      <c r="W41" s="48">
        <f t="shared" si="25"/>
        <v>0</v>
      </c>
      <c r="X41" s="48">
        <f t="shared" si="25"/>
        <v>0</v>
      </c>
    </row>
    <row r="42" spans="1:24" ht="12.75">
      <c r="A42" s="27"/>
      <c r="B42" s="32"/>
      <c r="C42" s="33" t="s">
        <v>13</v>
      </c>
      <c r="D42" s="48">
        <f>IF((D37+D35+D38+D39+D40+D41)&lt;0,IF(D28&gt;(-D35-D37-D38-D39-D40-D41),(-D35-D37-D38-D39-D40-D41),D28),0)</f>
        <v>0</v>
      </c>
      <c r="E42" s="48">
        <f aca="true" t="shared" si="26" ref="E42:X42">IF((E37+E35+E38+E39+E40+E41)&lt;0,IF(E28&gt;(-E35-E37-E38-E39-E40-E41),(-E35-E37-E38-E39-E40-E41),E28),0)</f>
        <v>1873230.450000003</v>
      </c>
      <c r="F42" s="48">
        <f t="shared" si="26"/>
        <v>0</v>
      </c>
      <c r="G42" s="48">
        <f t="shared" si="26"/>
        <v>0</v>
      </c>
      <c r="H42" s="48">
        <f t="shared" si="26"/>
        <v>0</v>
      </c>
      <c r="I42" s="48">
        <f t="shared" si="26"/>
        <v>0</v>
      </c>
      <c r="J42" s="48">
        <f t="shared" si="26"/>
        <v>0</v>
      </c>
      <c r="K42" s="48">
        <f t="shared" si="26"/>
        <v>0</v>
      </c>
      <c r="L42" s="48">
        <f t="shared" si="26"/>
        <v>0</v>
      </c>
      <c r="M42" s="48">
        <f t="shared" si="26"/>
        <v>0</v>
      </c>
      <c r="N42" s="48">
        <f t="shared" si="26"/>
        <v>0</v>
      </c>
      <c r="O42" s="48">
        <f t="shared" si="26"/>
        <v>0</v>
      </c>
      <c r="P42" s="48">
        <f t="shared" si="26"/>
        <v>0</v>
      </c>
      <c r="Q42" s="48">
        <f t="shared" si="26"/>
        <v>0</v>
      </c>
      <c r="R42" s="48">
        <f t="shared" si="26"/>
        <v>0</v>
      </c>
      <c r="S42" s="48">
        <f t="shared" si="26"/>
        <v>0</v>
      </c>
      <c r="T42" s="48">
        <f t="shared" si="26"/>
        <v>0</v>
      </c>
      <c r="U42" s="48">
        <f>IF((U37+U35+U38+U39+U40+U41)&lt;0,IF(U28&gt;(-U35-U37-U38-U39-U40-U41),(-U35-U37-U38-U39-U40-U41),U28),0)</f>
        <v>0</v>
      </c>
      <c r="V42" s="48">
        <f t="shared" si="26"/>
        <v>0</v>
      </c>
      <c r="W42" s="48">
        <f t="shared" si="26"/>
        <v>0</v>
      </c>
      <c r="X42" s="48">
        <f t="shared" si="26"/>
        <v>0</v>
      </c>
    </row>
    <row r="43" spans="1:24" ht="12.75">
      <c r="A43" s="30" t="s">
        <v>33</v>
      </c>
      <c r="B43" s="150" t="s">
        <v>19</v>
      </c>
      <c r="C43" s="151"/>
      <c r="D43" s="46">
        <f>IF(D35&gt;0,D35,0)</f>
        <v>0</v>
      </c>
      <c r="E43" s="46">
        <f>IF(E35&gt;0,E35,0)</f>
        <v>0</v>
      </c>
      <c r="F43" s="46">
        <f aca="true" t="shared" si="27" ref="F43:L43">IF(F35&gt;0,F35,0)</f>
        <v>0</v>
      </c>
      <c r="G43" s="46">
        <f t="shared" si="27"/>
        <v>0.2199999988079071</v>
      </c>
      <c r="H43" s="46">
        <f t="shared" si="27"/>
        <v>0</v>
      </c>
      <c r="I43" s="46">
        <f t="shared" si="27"/>
        <v>399619.51000000536</v>
      </c>
      <c r="J43" s="46">
        <f t="shared" si="27"/>
        <v>708111.0600000024</v>
      </c>
      <c r="K43" s="46">
        <f t="shared" si="27"/>
        <v>1025649.3559000045</v>
      </c>
      <c r="L43" s="46">
        <f t="shared" si="27"/>
        <v>1352413.7312384993</v>
      </c>
      <c r="M43" s="46">
        <f aca="true" t="shared" si="28" ref="M43:X43">IF(M35&gt;0,M35,0)</f>
        <v>1688590.4469070882</v>
      </c>
      <c r="N43" s="46">
        <f t="shared" si="28"/>
        <v>2034361.9336106926</v>
      </c>
      <c r="O43" s="46">
        <f t="shared" si="28"/>
        <v>2389920.23533985</v>
      </c>
      <c r="P43" s="46">
        <f t="shared" si="28"/>
        <v>2755457.028869942</v>
      </c>
      <c r="Q43" s="46">
        <f t="shared" si="28"/>
        <v>3131168.8243029863</v>
      </c>
      <c r="R43" s="46">
        <f t="shared" si="28"/>
        <v>3517254.9266675413</v>
      </c>
      <c r="S43" s="46">
        <f t="shared" si="28"/>
        <v>3913918.6755675375</v>
      </c>
      <c r="T43" s="46">
        <f t="shared" si="28"/>
        <v>4400000</v>
      </c>
      <c r="U43" s="46">
        <f t="shared" si="28"/>
        <v>4800000</v>
      </c>
      <c r="V43" s="46">
        <f t="shared" si="28"/>
        <v>5000000</v>
      </c>
      <c r="W43" s="46">
        <f t="shared" si="28"/>
        <v>4183533.694999993</v>
      </c>
      <c r="X43" s="46">
        <f t="shared" si="28"/>
        <v>0</v>
      </c>
    </row>
    <row r="44" spans="1:24" ht="12.75">
      <c r="A44" s="27"/>
      <c r="B44" s="32"/>
      <c r="C44" s="33" t="s">
        <v>57</v>
      </c>
      <c r="D44" s="48">
        <f>D43-D45</f>
        <v>0</v>
      </c>
      <c r="E44" s="48">
        <f>E43-E45</f>
        <v>0</v>
      </c>
      <c r="F44" s="48">
        <f aca="true" t="shared" si="29" ref="F44:S44">F43-F45</f>
        <v>0</v>
      </c>
      <c r="G44" s="48">
        <f t="shared" si="29"/>
        <v>0.2199999988079071</v>
      </c>
      <c r="H44" s="48">
        <f t="shared" si="29"/>
        <v>0</v>
      </c>
      <c r="I44" s="48">
        <f t="shared" si="29"/>
        <v>399619.51000000536</v>
      </c>
      <c r="J44" s="48">
        <f t="shared" si="29"/>
        <v>708111.0600000024</v>
      </c>
      <c r="K44" s="48">
        <f t="shared" si="29"/>
        <v>1025649.3559000045</v>
      </c>
      <c r="L44" s="48">
        <f t="shared" si="29"/>
        <v>1352413.7312384993</v>
      </c>
      <c r="M44" s="48">
        <f t="shared" si="29"/>
        <v>1688590.4469070882</v>
      </c>
      <c r="N44" s="48">
        <f t="shared" si="29"/>
        <v>2034361.9336106926</v>
      </c>
      <c r="O44" s="48">
        <f t="shared" si="29"/>
        <v>2389920.23533985</v>
      </c>
      <c r="P44" s="48">
        <f t="shared" si="29"/>
        <v>2755457.028869942</v>
      </c>
      <c r="Q44" s="48">
        <f t="shared" si="29"/>
        <v>3131168.8243029863</v>
      </c>
      <c r="R44" s="48">
        <f t="shared" si="29"/>
        <v>3517254.9266675413</v>
      </c>
      <c r="S44" s="48">
        <f t="shared" si="29"/>
        <v>3913918.6755675375</v>
      </c>
      <c r="T44" s="48">
        <v>4200000</v>
      </c>
      <c r="U44" s="48">
        <v>4600000</v>
      </c>
      <c r="V44" s="48">
        <v>5000000</v>
      </c>
      <c r="W44" s="48">
        <v>4183534</v>
      </c>
      <c r="X44" s="48">
        <v>0</v>
      </c>
    </row>
    <row r="45" spans="1:24" ht="12.75">
      <c r="A45" s="27"/>
      <c r="B45" s="32"/>
      <c r="C45" s="33" t="s">
        <v>20</v>
      </c>
      <c r="D45" s="48">
        <f>IF(D35&gt;0,IF(D34&gt;D35,D35,D34),0)</f>
        <v>0</v>
      </c>
      <c r="E45" s="48">
        <f>IF(E35&gt;0,IF(E34&gt;E35,E35,E34),0)</f>
        <v>0</v>
      </c>
      <c r="F45" s="48">
        <f aca="true" t="shared" si="30" ref="F45:L45">IF(F35&gt;0,IF(F34&gt;F35,F35,F34),0)</f>
        <v>0</v>
      </c>
      <c r="G45" s="48">
        <f t="shared" si="30"/>
        <v>0</v>
      </c>
      <c r="H45" s="48">
        <f t="shared" si="30"/>
        <v>0</v>
      </c>
      <c r="I45" s="48">
        <f t="shared" si="30"/>
        <v>0</v>
      </c>
      <c r="J45" s="48">
        <f t="shared" si="30"/>
        <v>0</v>
      </c>
      <c r="K45" s="48">
        <f t="shared" si="30"/>
        <v>0</v>
      </c>
      <c r="L45" s="48">
        <f t="shared" si="30"/>
        <v>0</v>
      </c>
      <c r="M45" s="48">
        <f aca="true" t="shared" si="31" ref="M45:X45">IF(M35&gt;0,IF(M34&gt;M35,M35,M34),0)</f>
        <v>0</v>
      </c>
      <c r="N45" s="48">
        <f t="shared" si="31"/>
        <v>0</v>
      </c>
      <c r="O45" s="48">
        <f t="shared" si="31"/>
        <v>0</v>
      </c>
      <c r="P45" s="48">
        <f t="shared" si="31"/>
        <v>0</v>
      </c>
      <c r="Q45" s="48">
        <f t="shared" si="31"/>
        <v>0</v>
      </c>
      <c r="R45" s="48">
        <f t="shared" si="31"/>
        <v>0</v>
      </c>
      <c r="S45" s="48">
        <f t="shared" si="31"/>
        <v>0</v>
      </c>
      <c r="T45" s="48">
        <f t="shared" si="31"/>
        <v>0</v>
      </c>
      <c r="U45" s="48">
        <f t="shared" si="31"/>
        <v>0</v>
      </c>
      <c r="V45" s="48">
        <f t="shared" si="31"/>
        <v>0</v>
      </c>
      <c r="W45" s="48">
        <f t="shared" si="31"/>
        <v>0</v>
      </c>
      <c r="X45" s="48">
        <f t="shared" si="31"/>
        <v>0</v>
      </c>
    </row>
    <row r="46" spans="1:24" ht="12.75">
      <c r="A46" s="27"/>
      <c r="B46" s="32"/>
      <c r="C46" s="34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>
      <c r="A47" s="30" t="s">
        <v>34</v>
      </c>
      <c r="B47" s="150" t="s">
        <v>107</v>
      </c>
      <c r="C47" s="152"/>
      <c r="D47" s="46">
        <f>Startowa!D4+D22-D30</f>
        <v>36800000</v>
      </c>
      <c r="E47" s="46">
        <f>D47+E22-E30</f>
        <v>39800000</v>
      </c>
      <c r="F47" s="46">
        <f aca="true" t="shared" si="32" ref="F47:L47">E47+F22-F30</f>
        <v>41300000</v>
      </c>
      <c r="G47" s="46">
        <f t="shared" si="32"/>
        <v>41300000</v>
      </c>
      <c r="H47" s="46">
        <f t="shared" si="32"/>
        <v>41300000</v>
      </c>
      <c r="I47" s="46">
        <f t="shared" si="32"/>
        <v>40900380</v>
      </c>
      <c r="J47" s="46">
        <f t="shared" si="32"/>
        <v>40192269</v>
      </c>
      <c r="K47" s="46">
        <f t="shared" si="32"/>
        <v>39166620</v>
      </c>
      <c r="L47" s="46">
        <f t="shared" si="32"/>
        <v>37814206</v>
      </c>
      <c r="M47" s="46">
        <f aca="true" t="shared" si="33" ref="M47:X47">L47+M22-M30</f>
        <v>36125616</v>
      </c>
      <c r="N47" s="46">
        <f t="shared" si="33"/>
        <v>34091254</v>
      </c>
      <c r="O47" s="46">
        <f t="shared" si="33"/>
        <v>31701334</v>
      </c>
      <c r="P47" s="46">
        <f t="shared" si="33"/>
        <v>28945877</v>
      </c>
      <c r="Q47" s="46">
        <f t="shared" si="33"/>
        <v>25814708</v>
      </c>
      <c r="R47" s="46">
        <f t="shared" si="33"/>
        <v>22297453</v>
      </c>
      <c r="S47" s="46">
        <f t="shared" si="33"/>
        <v>18383534</v>
      </c>
      <c r="T47" s="46">
        <f t="shared" si="33"/>
        <v>13983534</v>
      </c>
      <c r="U47" s="46">
        <f t="shared" si="33"/>
        <v>9183534</v>
      </c>
      <c r="V47" s="46">
        <f t="shared" si="33"/>
        <v>4183534</v>
      </c>
      <c r="W47" s="46">
        <f t="shared" si="33"/>
        <v>0</v>
      </c>
      <c r="X47" s="46">
        <f t="shared" si="33"/>
        <v>0</v>
      </c>
    </row>
    <row r="48" spans="1:24" ht="12.75">
      <c r="A48" s="27"/>
      <c r="B48" s="32"/>
      <c r="C48" s="3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ht="12.75">
      <c r="A49" s="27"/>
      <c r="B49" s="32"/>
      <c r="C49" s="3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ht="37.5" customHeight="1">
      <c r="A50" s="30" t="s">
        <v>35</v>
      </c>
      <c r="B50" s="150" t="s">
        <v>68</v>
      </c>
      <c r="C50" s="151"/>
      <c r="D50" s="41">
        <f>(D12+D30+D13+D18)/D6</f>
        <v>0.04505309321653189</v>
      </c>
      <c r="E50" s="41">
        <f>(E12+E30+E13+E18)/E6</f>
        <v>0.051812436190222064</v>
      </c>
      <c r="F50" s="41">
        <f>(F12+F30+F13+F18)/F6</f>
        <v>0.057879796154515786</v>
      </c>
      <c r="G50" s="41">
        <f>(G12+G30+G13+G18)/G6</f>
        <v>0.05904828941520437</v>
      </c>
      <c r="H50" s="41">
        <f aca="true" t="shared" si="34" ref="H50:X50">(H12+H30+H13+H18)/H6</f>
        <v>0.061039605285938804</v>
      </c>
      <c r="I50" s="41">
        <f t="shared" si="34"/>
        <v>0.05645720858394955</v>
      </c>
      <c r="J50" s="41">
        <f t="shared" si="34"/>
        <v>0.055268416037829636</v>
      </c>
      <c r="K50" s="41">
        <f t="shared" si="34"/>
        <v>0.05404495841358615</v>
      </c>
      <c r="L50" s="41">
        <f t="shared" si="34"/>
        <v>0.05271841557604053</v>
      </c>
      <c r="M50" s="41">
        <f t="shared" si="34"/>
        <v>0.05126974862327074</v>
      </c>
      <c r="N50" s="41">
        <f t="shared" si="34"/>
        <v>0.04970038878271734</v>
      </c>
      <c r="O50" s="41">
        <f t="shared" si="34"/>
        <v>0.04801176856600001</v>
      </c>
      <c r="P50" s="41">
        <f t="shared" si="34"/>
        <v>0.04620532142268017</v>
      </c>
      <c r="Q50" s="41">
        <f t="shared" si="34"/>
        <v>0.044282481418320106</v>
      </c>
      <c r="R50" s="41">
        <f t="shared" si="34"/>
        <v>0.04224468293540452</v>
      </c>
      <c r="S50" s="41">
        <f t="shared" si="34"/>
        <v>0.04454578266911053</v>
      </c>
      <c r="T50" s="41">
        <f t="shared" si="34"/>
        <v>0.04483418854772418</v>
      </c>
      <c r="U50" s="41">
        <f t="shared" si="34"/>
        <v>0.04581450807519956</v>
      </c>
      <c r="V50" s="41">
        <f t="shared" si="34"/>
        <v>0.04497613489532782</v>
      </c>
      <c r="W50" s="41">
        <f t="shared" si="34"/>
        <v>0.036944601606022004</v>
      </c>
      <c r="X50" s="41">
        <f t="shared" si="34"/>
        <v>0.0005400089993258903</v>
      </c>
    </row>
    <row r="51" spans="1:24" ht="50.25" customHeight="1">
      <c r="A51" s="30" t="s">
        <v>36</v>
      </c>
      <c r="B51" s="150" t="s">
        <v>69</v>
      </c>
      <c r="C51" s="151"/>
      <c r="D51" s="41">
        <f>D47/D6</f>
        <v>0.3963060357484629</v>
      </c>
      <c r="E51" s="41">
        <f>E47/E6</f>
        <v>0.37779802509404725</v>
      </c>
      <c r="F51" s="41">
        <f>F47/F6</f>
        <v>0.4176150387361711</v>
      </c>
      <c r="G51" s="41">
        <f>G47/G6</f>
        <v>0.42479377811592633</v>
      </c>
      <c r="H51" s="41">
        <f aca="true" t="shared" si="35" ref="H51:X51">H47/H6</f>
        <v>0.42175717190922407</v>
      </c>
      <c r="I51" s="41">
        <f t="shared" si="35"/>
        <v>0.41719542805796384</v>
      </c>
      <c r="J51" s="41">
        <f t="shared" si="35"/>
        <v>0.40447472302222387</v>
      </c>
      <c r="K51" s="41">
        <f t="shared" si="35"/>
        <v>0.3888602337213436</v>
      </c>
      <c r="L51" s="41">
        <f t="shared" si="35"/>
        <v>0.3703846762599324</v>
      </c>
      <c r="M51" s="41">
        <f t="shared" si="35"/>
        <v>0.34908081311583505</v>
      </c>
      <c r="N51" s="41">
        <f t="shared" si="35"/>
        <v>0.3249814630032969</v>
      </c>
      <c r="O51" s="41">
        <f t="shared" si="35"/>
        <v>0.29811947218974677</v>
      </c>
      <c r="P51" s="41">
        <f t="shared" si="35"/>
        <v>0.26852770651861635</v>
      </c>
      <c r="Q51" s="41">
        <f t="shared" si="35"/>
        <v>0.23623904397820045</v>
      </c>
      <c r="R51" s="41">
        <f t="shared" si="35"/>
        <v>0.20128636778478806</v>
      </c>
      <c r="S51" s="41">
        <f t="shared" si="35"/>
        <v>0.16370254213981267</v>
      </c>
      <c r="T51" s="41">
        <f t="shared" si="35"/>
        <v>0.12285276904337386</v>
      </c>
      <c r="U51" s="41">
        <f t="shared" si="35"/>
        <v>0.07959743496037798</v>
      </c>
      <c r="V51" s="41">
        <f t="shared" si="35"/>
        <v>0.03577556160847123</v>
      </c>
      <c r="W51" s="41">
        <f t="shared" si="35"/>
        <v>0</v>
      </c>
      <c r="X51" s="41">
        <f t="shared" si="35"/>
        <v>0</v>
      </c>
    </row>
    <row r="52" spans="1:24" ht="60.75" customHeight="1">
      <c r="A52" s="36" t="s">
        <v>85</v>
      </c>
      <c r="B52" s="150" t="s">
        <v>99</v>
      </c>
      <c r="C52" s="151"/>
      <c r="D52" s="145">
        <f>(D30+D12+D13+D18)/D6</f>
        <v>0.04505309321653189</v>
      </c>
      <c r="E52" s="145">
        <f>(E30+E12+E13+E18)/E6</f>
        <v>0.051812436190222064</v>
      </c>
      <c r="F52" s="145">
        <f>(F30+F12+F13+F18)/F6</f>
        <v>0.057879796154515786</v>
      </c>
      <c r="G52" s="145">
        <f>(G30+G12+G13+G18)/G6</f>
        <v>0.05904828941520437</v>
      </c>
      <c r="H52" s="145">
        <f aca="true" t="shared" si="36" ref="H52:X52">(H30+H12+H13+H18+H77)/H6</f>
        <v>0.061039605285938804</v>
      </c>
      <c r="I52" s="145">
        <f t="shared" si="36"/>
        <v>0.05645720858394955</v>
      </c>
      <c r="J52" s="145">
        <f t="shared" si="36"/>
        <v>0.055268416037829636</v>
      </c>
      <c r="K52" s="145">
        <f t="shared" si="36"/>
        <v>0.05404495841358615</v>
      </c>
      <c r="L52" s="145">
        <f t="shared" si="36"/>
        <v>0.05271841557604053</v>
      </c>
      <c r="M52" s="145">
        <f t="shared" si="36"/>
        <v>0.05126974862327074</v>
      </c>
      <c r="N52" s="145">
        <f t="shared" si="36"/>
        <v>0.04970038878271734</v>
      </c>
      <c r="O52" s="145">
        <f t="shared" si="36"/>
        <v>0.04801176856600001</v>
      </c>
      <c r="P52" s="145">
        <f t="shared" si="36"/>
        <v>0.04620532142268017</v>
      </c>
      <c r="Q52" s="145">
        <f t="shared" si="36"/>
        <v>0.044282481418320106</v>
      </c>
      <c r="R52" s="145">
        <f t="shared" si="36"/>
        <v>0.04224468293540452</v>
      </c>
      <c r="S52" s="145">
        <f t="shared" si="36"/>
        <v>0.04454578266911053</v>
      </c>
      <c r="T52" s="145">
        <f t="shared" si="36"/>
        <v>0.04483418854772418</v>
      </c>
      <c r="U52" s="145">
        <f t="shared" si="36"/>
        <v>0.04581450807519956</v>
      </c>
      <c r="V52" s="145">
        <f t="shared" si="36"/>
        <v>0.04497613489532782</v>
      </c>
      <c r="W52" s="145">
        <f t="shared" si="36"/>
        <v>0.036944601606022004</v>
      </c>
      <c r="X52" s="145">
        <f t="shared" si="36"/>
        <v>0.0005400089993258903</v>
      </c>
    </row>
    <row r="53" spans="1:24" ht="51" customHeight="1">
      <c r="A53" s="36" t="s">
        <v>86</v>
      </c>
      <c r="B53" s="175" t="s">
        <v>94</v>
      </c>
      <c r="C53" s="176"/>
      <c r="D53" s="42" t="s">
        <v>45</v>
      </c>
      <c r="E53" s="145">
        <f>(D66+Startowa!D16+Startowa!C16)/3</f>
        <v>0.08595114884937156</v>
      </c>
      <c r="F53" s="145">
        <f>(E66+D66+Startowa!D16)/3</f>
        <v>0.05231183523586547</v>
      </c>
      <c r="G53" s="145">
        <f>(F66+E66+D66)/3</f>
        <v>0.049130887318913095</v>
      </c>
      <c r="H53" s="145">
        <f aca="true" t="shared" si="37" ref="H53:X53">(E66+F66+G66)/3</f>
        <v>0.06166949408249737</v>
      </c>
      <c r="I53" s="145">
        <f t="shared" si="37"/>
        <v>0.07888999120967329</v>
      </c>
      <c r="J53" s="145">
        <f t="shared" si="37"/>
        <v>0.07883911732950837</v>
      </c>
      <c r="K53" s="145">
        <f t="shared" si="37"/>
        <v>0.07438848390392751</v>
      </c>
      <c r="L53" s="145">
        <f t="shared" si="37"/>
        <v>0.0741448717793654</v>
      </c>
      <c r="M53" s="145">
        <f t="shared" si="37"/>
        <v>0.07770829715124307</v>
      </c>
      <c r="N53" s="145">
        <f t="shared" si="37"/>
        <v>0.08128222323696131</v>
      </c>
      <c r="O53" s="145">
        <f t="shared" si="37"/>
        <v>0.08484662430540217</v>
      </c>
      <c r="P53" s="145">
        <f t="shared" si="37"/>
        <v>0.08842067886702494</v>
      </c>
      <c r="Q53" s="145">
        <f t="shared" si="37"/>
        <v>0.09198953331503017</v>
      </c>
      <c r="R53" s="145">
        <f t="shared" si="37"/>
        <v>0.09555800358809581</v>
      </c>
      <c r="S53" s="145">
        <f t="shared" si="37"/>
        <v>0.09911633703789509</v>
      </c>
      <c r="T53" s="145">
        <f t="shared" si="37"/>
        <v>0.10266908784502098</v>
      </c>
      <c r="U53" s="145">
        <f t="shared" si="37"/>
        <v>0.10618289323886877</v>
      </c>
      <c r="V53" s="145">
        <f t="shared" si="37"/>
        <v>0.10964463890027266</v>
      </c>
      <c r="W53" s="145">
        <f t="shared" si="37"/>
        <v>0.11304474857272966</v>
      </c>
      <c r="X53" s="145">
        <f t="shared" si="37"/>
        <v>0.11334308090570698</v>
      </c>
    </row>
    <row r="54" spans="1:24" ht="54" customHeight="1">
      <c r="A54" s="37" t="s">
        <v>87</v>
      </c>
      <c r="B54" s="174" t="s">
        <v>95</v>
      </c>
      <c r="C54" s="174"/>
      <c r="D54" s="42" t="s">
        <v>45</v>
      </c>
      <c r="E54" s="145">
        <f aca="true" t="shared" si="38" ref="E54:X54">E53-E52</f>
        <v>0.0341387126591495</v>
      </c>
      <c r="F54" s="145">
        <f t="shared" si="38"/>
        <v>-0.005567960918650319</v>
      </c>
      <c r="G54" s="145">
        <f t="shared" si="38"/>
        <v>-0.009917402096291272</v>
      </c>
      <c r="H54" s="145">
        <f t="shared" si="38"/>
        <v>0.0006298887965585642</v>
      </c>
      <c r="I54" s="145">
        <f t="shared" si="38"/>
        <v>0.022432782625723735</v>
      </c>
      <c r="J54" s="145">
        <f t="shared" si="38"/>
        <v>0.02357070129167873</v>
      </c>
      <c r="K54" s="145">
        <f t="shared" si="38"/>
        <v>0.02034352549034136</v>
      </c>
      <c r="L54" s="145">
        <f t="shared" si="38"/>
        <v>0.021426456203324874</v>
      </c>
      <c r="M54" s="145">
        <f t="shared" si="38"/>
        <v>0.026438548527972332</v>
      </c>
      <c r="N54" s="145">
        <f t="shared" si="38"/>
        <v>0.03158183445424397</v>
      </c>
      <c r="O54" s="145">
        <f t="shared" si="38"/>
        <v>0.036834855739402164</v>
      </c>
      <c r="P54" s="145">
        <f t="shared" si="38"/>
        <v>0.04221535744434477</v>
      </c>
      <c r="Q54" s="145">
        <f t="shared" si="38"/>
        <v>0.04770705189671006</v>
      </c>
      <c r="R54" s="145">
        <f t="shared" si="38"/>
        <v>0.05331332065269129</v>
      </c>
      <c r="S54" s="145">
        <f t="shared" si="38"/>
        <v>0.05457055436878456</v>
      </c>
      <c r="T54" s="145">
        <f t="shared" si="38"/>
        <v>0.05783489929729679</v>
      </c>
      <c r="U54" s="145">
        <f t="shared" si="38"/>
        <v>0.060368385163669214</v>
      </c>
      <c r="V54" s="145">
        <f t="shared" si="38"/>
        <v>0.06466850400494484</v>
      </c>
      <c r="W54" s="145">
        <f t="shared" si="38"/>
        <v>0.07610014696670765</v>
      </c>
      <c r="X54" s="145">
        <f t="shared" si="38"/>
        <v>0.11280307190638109</v>
      </c>
    </row>
    <row r="55" spans="1:24" ht="36" customHeight="1">
      <c r="A55" s="167" t="s">
        <v>88</v>
      </c>
      <c r="B55" s="161" t="s">
        <v>84</v>
      </c>
      <c r="C55" s="124" t="s">
        <v>8</v>
      </c>
      <c r="D55" s="48">
        <f>IF(D30&gt;0,IF(D23&gt;(D30),(D30),D23),0)</f>
        <v>0</v>
      </c>
      <c r="E55" s="48">
        <f>IF(E30&gt;0,IF(E23&gt;(E30),(E30),E23),0)</f>
        <v>0</v>
      </c>
      <c r="F55" s="48">
        <f>IF(F30&gt;0,IF(F23&gt;(F30),(F30),F23),0)</f>
        <v>1500000</v>
      </c>
      <c r="G55" s="48">
        <f aca="true" t="shared" si="39" ref="G55:L55">IF(G30&gt;0,IF(G23&gt;(G30),(G30),G23),0)</f>
        <v>0</v>
      </c>
      <c r="H55" s="48">
        <f t="shared" si="39"/>
        <v>0</v>
      </c>
      <c r="I55" s="48">
        <f t="shared" si="39"/>
        <v>0</v>
      </c>
      <c r="J55" s="48">
        <f t="shared" si="39"/>
        <v>0</v>
      </c>
      <c r="K55" s="48">
        <f t="shared" si="39"/>
        <v>0</v>
      </c>
      <c r="L55" s="48">
        <f t="shared" si="39"/>
        <v>0</v>
      </c>
      <c r="M55" s="48">
        <f aca="true" t="shared" si="40" ref="M55:X55">IF(M30&gt;0,IF(M23&gt;(M30),(M30),M23),0)</f>
        <v>0</v>
      </c>
      <c r="N55" s="48">
        <f t="shared" si="40"/>
        <v>0</v>
      </c>
      <c r="O55" s="48">
        <f t="shared" si="40"/>
        <v>0</v>
      </c>
      <c r="P55" s="48">
        <f t="shared" si="40"/>
        <v>0</v>
      </c>
      <c r="Q55" s="48">
        <f t="shared" si="40"/>
        <v>0</v>
      </c>
      <c r="R55" s="48">
        <f t="shared" si="40"/>
        <v>0</v>
      </c>
      <c r="S55" s="48">
        <f t="shared" si="40"/>
        <v>0</v>
      </c>
      <c r="T55" s="48">
        <f t="shared" si="40"/>
        <v>0</v>
      </c>
      <c r="U55" s="48">
        <f t="shared" si="40"/>
        <v>0</v>
      </c>
      <c r="V55" s="48">
        <f t="shared" si="40"/>
        <v>0</v>
      </c>
      <c r="W55" s="48">
        <f t="shared" si="40"/>
        <v>0</v>
      </c>
      <c r="X55" s="48">
        <f t="shared" si="40"/>
        <v>0</v>
      </c>
    </row>
    <row r="56" spans="1:24" ht="36" customHeight="1">
      <c r="A56" s="167"/>
      <c r="B56" s="162"/>
      <c r="C56" s="124" t="s">
        <v>9</v>
      </c>
      <c r="D56" s="48">
        <f aca="true" t="shared" si="41" ref="D56:X56">IF((D55+D30)&gt;0,IF(D24&gt;(D30-D55),(D30-D55),D24),0)</f>
        <v>0</v>
      </c>
      <c r="E56" s="48">
        <f t="shared" si="41"/>
        <v>0</v>
      </c>
      <c r="F56" s="48">
        <f t="shared" si="41"/>
        <v>0</v>
      </c>
      <c r="G56" s="48">
        <f t="shared" si="41"/>
        <v>0</v>
      </c>
      <c r="H56" s="48">
        <f t="shared" si="41"/>
        <v>0</v>
      </c>
      <c r="I56" s="48">
        <f t="shared" si="41"/>
        <v>200380</v>
      </c>
      <c r="J56" s="48">
        <f t="shared" si="41"/>
        <v>391889</v>
      </c>
      <c r="K56" s="48">
        <f t="shared" si="41"/>
        <v>74351</v>
      </c>
      <c r="L56" s="48">
        <f t="shared" si="41"/>
        <v>247586</v>
      </c>
      <c r="M56" s="48">
        <f t="shared" si="41"/>
        <v>411410</v>
      </c>
      <c r="N56" s="48">
        <f t="shared" si="41"/>
        <v>65638</v>
      </c>
      <c r="O56" s="48">
        <f t="shared" si="41"/>
        <v>10080</v>
      </c>
      <c r="P56" s="48">
        <f t="shared" si="41"/>
        <v>344543</v>
      </c>
      <c r="Q56" s="48">
        <f t="shared" si="41"/>
        <v>468831</v>
      </c>
      <c r="R56" s="48">
        <f t="shared" si="41"/>
        <v>82745</v>
      </c>
      <c r="S56" s="48">
        <f t="shared" si="41"/>
        <v>186081</v>
      </c>
      <c r="T56" s="48">
        <f t="shared" si="41"/>
        <v>0</v>
      </c>
      <c r="U56" s="48">
        <f t="shared" si="41"/>
        <v>0</v>
      </c>
      <c r="V56" s="48">
        <f t="shared" si="41"/>
        <v>0</v>
      </c>
      <c r="W56" s="48">
        <f t="shared" si="41"/>
        <v>0</v>
      </c>
      <c r="X56" s="48">
        <f t="shared" si="41"/>
        <v>0</v>
      </c>
    </row>
    <row r="57" spans="1:24" ht="36" customHeight="1">
      <c r="A57" s="167"/>
      <c r="B57" s="162"/>
      <c r="C57" s="124" t="s">
        <v>10</v>
      </c>
      <c r="D57" s="48">
        <f aca="true" t="shared" si="42" ref="D57:X57">IF((D55+D30+D56)&gt;0,IF(D25&gt;(D30-D55-D56),(D30-D55-D56),D25),0)</f>
        <v>2400000</v>
      </c>
      <c r="E57" s="48">
        <f t="shared" si="42"/>
        <v>3000000</v>
      </c>
      <c r="F57" s="48">
        <f t="shared" si="42"/>
        <v>1700000</v>
      </c>
      <c r="G57" s="48">
        <f t="shared" si="42"/>
        <v>3200000</v>
      </c>
      <c r="H57" s="48">
        <f t="shared" si="42"/>
        <v>3500000</v>
      </c>
      <c r="I57" s="48">
        <f t="shared" si="42"/>
        <v>3000000</v>
      </c>
      <c r="J57" s="48">
        <f t="shared" si="42"/>
        <v>2500000</v>
      </c>
      <c r="K57" s="48">
        <f t="shared" si="42"/>
        <v>2500000</v>
      </c>
      <c r="L57" s="48">
        <f t="shared" si="42"/>
        <v>2000000</v>
      </c>
      <c r="M57" s="48">
        <f t="shared" si="42"/>
        <v>1500000</v>
      </c>
      <c r="N57" s="48">
        <f t="shared" si="42"/>
        <v>1500000</v>
      </c>
      <c r="O57" s="48">
        <f t="shared" si="42"/>
        <v>1200000</v>
      </c>
      <c r="P57" s="48">
        <f t="shared" si="42"/>
        <v>500000</v>
      </c>
      <c r="Q57" s="48">
        <f t="shared" si="42"/>
        <v>0</v>
      </c>
      <c r="R57" s="48">
        <f t="shared" si="42"/>
        <v>0</v>
      </c>
      <c r="S57" s="48">
        <f t="shared" si="42"/>
        <v>0</v>
      </c>
      <c r="T57" s="48">
        <f t="shared" si="42"/>
        <v>0</v>
      </c>
      <c r="U57" s="48">
        <f t="shared" si="42"/>
        <v>0</v>
      </c>
      <c r="V57" s="48">
        <f t="shared" si="42"/>
        <v>0</v>
      </c>
      <c r="W57" s="48">
        <f t="shared" si="42"/>
        <v>0</v>
      </c>
      <c r="X57" s="48">
        <f t="shared" si="42"/>
        <v>0</v>
      </c>
    </row>
    <row r="58" spans="1:24" ht="36" customHeight="1">
      <c r="A58" s="167"/>
      <c r="B58" s="162"/>
      <c r="C58" s="124" t="s">
        <v>11</v>
      </c>
      <c r="D58" s="48">
        <f aca="true" t="shared" si="43" ref="D58:X58">IF((D55+D30+D56+D57)&gt;0,IF(D26&gt;(D30-D55-D56-D57),(D30-D55-D56-D57),D26),0)</f>
        <v>0</v>
      </c>
      <c r="E58" s="48">
        <f t="shared" si="43"/>
        <v>0</v>
      </c>
      <c r="F58" s="48">
        <f t="shared" si="43"/>
        <v>0</v>
      </c>
      <c r="G58" s="48">
        <f t="shared" si="43"/>
        <v>0</v>
      </c>
      <c r="H58" s="48">
        <f t="shared" si="43"/>
        <v>0</v>
      </c>
      <c r="I58" s="48">
        <f t="shared" si="43"/>
        <v>0</v>
      </c>
      <c r="J58" s="48">
        <f t="shared" si="43"/>
        <v>0</v>
      </c>
      <c r="K58" s="48">
        <f t="shared" si="43"/>
        <v>0</v>
      </c>
      <c r="L58" s="48">
        <f t="shared" si="43"/>
        <v>0</v>
      </c>
      <c r="M58" s="48">
        <f t="shared" si="43"/>
        <v>0</v>
      </c>
      <c r="N58" s="48">
        <f t="shared" si="43"/>
        <v>0</v>
      </c>
      <c r="O58" s="48">
        <f t="shared" si="43"/>
        <v>0</v>
      </c>
      <c r="P58" s="48">
        <f t="shared" si="43"/>
        <v>0</v>
      </c>
      <c r="Q58" s="48">
        <f t="shared" si="43"/>
        <v>0</v>
      </c>
      <c r="R58" s="48">
        <f t="shared" si="43"/>
        <v>0</v>
      </c>
      <c r="S58" s="48">
        <f t="shared" si="43"/>
        <v>0</v>
      </c>
      <c r="T58" s="48">
        <f t="shared" si="43"/>
        <v>0</v>
      </c>
      <c r="U58" s="48">
        <f t="shared" si="43"/>
        <v>0</v>
      </c>
      <c r="V58" s="48">
        <f t="shared" si="43"/>
        <v>0</v>
      </c>
      <c r="W58" s="48">
        <f t="shared" si="43"/>
        <v>0</v>
      </c>
      <c r="X58" s="48">
        <f t="shared" si="43"/>
        <v>0</v>
      </c>
    </row>
    <row r="59" spans="1:24" ht="52.5" customHeight="1">
      <c r="A59" s="167"/>
      <c r="B59" s="162"/>
      <c r="C59" s="124" t="s">
        <v>12</v>
      </c>
      <c r="D59" s="48">
        <f aca="true" t="shared" si="44" ref="D59:X59">IF((D55+D30+D56+D57+D58)&gt;0,IF(D27&gt;(D30-D55-D56-D57-D58),(D30-D55-D56-D57-D58),D27),0)</f>
        <v>0</v>
      </c>
      <c r="E59" s="48">
        <f t="shared" si="44"/>
        <v>0</v>
      </c>
      <c r="F59" s="48">
        <f t="shared" si="44"/>
        <v>0</v>
      </c>
      <c r="G59" s="48">
        <f t="shared" si="44"/>
        <v>0</v>
      </c>
      <c r="H59" s="48">
        <f t="shared" si="44"/>
        <v>0</v>
      </c>
      <c r="I59" s="48">
        <f t="shared" si="44"/>
        <v>0</v>
      </c>
      <c r="J59" s="48">
        <f t="shared" si="44"/>
        <v>0</v>
      </c>
      <c r="K59" s="48">
        <f t="shared" si="44"/>
        <v>0</v>
      </c>
      <c r="L59" s="48">
        <f t="shared" si="44"/>
        <v>0</v>
      </c>
      <c r="M59" s="48">
        <f t="shared" si="44"/>
        <v>0</v>
      </c>
      <c r="N59" s="48">
        <f t="shared" si="44"/>
        <v>0</v>
      </c>
      <c r="O59" s="48">
        <f t="shared" si="44"/>
        <v>0</v>
      </c>
      <c r="P59" s="48">
        <f t="shared" si="44"/>
        <v>0</v>
      </c>
      <c r="Q59" s="48">
        <f t="shared" si="44"/>
        <v>0</v>
      </c>
      <c r="R59" s="48">
        <f t="shared" si="44"/>
        <v>0</v>
      </c>
      <c r="S59" s="48">
        <f t="shared" si="44"/>
        <v>0</v>
      </c>
      <c r="T59" s="48">
        <f t="shared" si="44"/>
        <v>0</v>
      </c>
      <c r="U59" s="48">
        <f>IF((U55+U30+U56+U57+U58)&gt;0,IF(U27&gt;(U30-U55-U56-U57-U58),(U30-U55-U56-U57-U58),U27),0)</f>
        <v>0</v>
      </c>
      <c r="V59" s="48">
        <f t="shared" si="44"/>
        <v>0</v>
      </c>
      <c r="W59" s="48">
        <f t="shared" si="44"/>
        <v>0</v>
      </c>
      <c r="X59" s="48">
        <f t="shared" si="44"/>
        <v>0</v>
      </c>
    </row>
    <row r="60" spans="1:24" ht="52.5" customHeight="1" thickBot="1">
      <c r="A60" s="168"/>
      <c r="B60" s="162"/>
      <c r="C60" s="125" t="s">
        <v>13</v>
      </c>
      <c r="D60" s="48">
        <f aca="true" t="shared" si="45" ref="D60:X60">IF((D55+D30+D56+D57+D58+D59)&gt;0,IF(D28&gt;(D30-D55-D56-D57-D58-D59),(D30-D55-D56-D57-D58-D59),D28),0)</f>
        <v>0</v>
      </c>
      <c r="E60" s="48">
        <f t="shared" si="45"/>
        <v>0</v>
      </c>
      <c r="F60" s="48">
        <f t="shared" si="45"/>
        <v>0</v>
      </c>
      <c r="G60" s="48">
        <f t="shared" si="45"/>
        <v>0</v>
      </c>
      <c r="H60" s="48">
        <f t="shared" si="45"/>
        <v>0</v>
      </c>
      <c r="I60" s="48">
        <f t="shared" si="45"/>
        <v>0</v>
      </c>
      <c r="J60" s="48">
        <f t="shared" si="45"/>
        <v>0</v>
      </c>
      <c r="K60" s="48">
        <f t="shared" si="45"/>
        <v>0</v>
      </c>
      <c r="L60" s="48">
        <f t="shared" si="45"/>
        <v>0</v>
      </c>
      <c r="M60" s="48">
        <f t="shared" si="45"/>
        <v>0</v>
      </c>
      <c r="N60" s="48">
        <f t="shared" si="45"/>
        <v>0</v>
      </c>
      <c r="O60" s="48">
        <f t="shared" si="45"/>
        <v>0</v>
      </c>
      <c r="P60" s="48">
        <f t="shared" si="45"/>
        <v>0</v>
      </c>
      <c r="Q60" s="48">
        <f t="shared" si="45"/>
        <v>0</v>
      </c>
      <c r="R60" s="48">
        <f t="shared" si="45"/>
        <v>0</v>
      </c>
      <c r="S60" s="48">
        <f t="shared" si="45"/>
        <v>0</v>
      </c>
      <c r="T60" s="48">
        <f t="shared" si="45"/>
        <v>0</v>
      </c>
      <c r="U60" s="48">
        <f>IF((U55+U30+U56+U57+U58+U59)&gt;0,IF(U28&gt;(U30-U55-U56-U57-U58-U59),(U30-U55-U56-U57-U58-U59),U28),0)</f>
        <v>0</v>
      </c>
      <c r="V60" s="48">
        <f t="shared" si="45"/>
        <v>0</v>
      </c>
      <c r="W60" s="48">
        <f t="shared" si="45"/>
        <v>0</v>
      </c>
      <c r="X60" s="48">
        <f t="shared" si="45"/>
        <v>0</v>
      </c>
    </row>
    <row r="61" spans="1:24" ht="31.5" customHeight="1" thickBot="1">
      <c r="A61" s="169"/>
      <c r="B61" s="163"/>
      <c r="C61" s="126" t="s">
        <v>104</v>
      </c>
      <c r="D61" s="48">
        <f aca="true" t="shared" si="46" ref="D61:X61">IF((D55+D56+D30+D57+D58+D59+D60)&gt;0,IF(D43&gt;(D30-D55-D56-D57-D58-D59-D60),(D30-D56-D55-D57-D58-D59-D60),D43),0)</f>
        <v>0</v>
      </c>
      <c r="E61" s="48">
        <f t="shared" si="46"/>
        <v>0</v>
      </c>
      <c r="F61" s="48">
        <f t="shared" si="46"/>
        <v>0</v>
      </c>
      <c r="G61" s="48">
        <f t="shared" si="46"/>
        <v>0</v>
      </c>
      <c r="H61" s="48">
        <f t="shared" si="46"/>
        <v>0</v>
      </c>
      <c r="I61" s="48">
        <f t="shared" si="46"/>
        <v>399619.51000000536</v>
      </c>
      <c r="J61" s="48">
        <f t="shared" si="46"/>
        <v>708111</v>
      </c>
      <c r="K61" s="48">
        <f t="shared" si="46"/>
        <v>1025649</v>
      </c>
      <c r="L61" s="48">
        <f t="shared" si="46"/>
        <v>1352413.7312384993</v>
      </c>
      <c r="M61" s="48">
        <f t="shared" si="46"/>
        <v>1688590</v>
      </c>
      <c r="N61" s="48">
        <f t="shared" si="46"/>
        <v>2034361.9336106926</v>
      </c>
      <c r="O61" s="48">
        <f t="shared" si="46"/>
        <v>2389920</v>
      </c>
      <c r="P61" s="48">
        <f t="shared" si="46"/>
        <v>2755457</v>
      </c>
      <c r="Q61" s="48">
        <f t="shared" si="46"/>
        <v>3131168.8243029863</v>
      </c>
      <c r="R61" s="48">
        <f t="shared" si="46"/>
        <v>3517254.9266675413</v>
      </c>
      <c r="S61" s="48">
        <f t="shared" si="46"/>
        <v>3913918.6755675375</v>
      </c>
      <c r="T61" s="48">
        <f t="shared" si="46"/>
        <v>4400000</v>
      </c>
      <c r="U61" s="48">
        <f t="shared" si="46"/>
        <v>4800000</v>
      </c>
      <c r="V61" s="48">
        <f t="shared" si="46"/>
        <v>5000000</v>
      </c>
      <c r="W61" s="48">
        <f t="shared" si="46"/>
        <v>4183533.694999993</v>
      </c>
      <c r="X61" s="48">
        <f t="shared" si="46"/>
        <v>0</v>
      </c>
    </row>
    <row r="62" spans="1:22" ht="12.75">
      <c r="A62" s="38"/>
      <c r="B62" s="38"/>
      <c r="C62" s="38" t="s">
        <v>123</v>
      </c>
      <c r="D62" s="38"/>
      <c r="E62" s="38"/>
      <c r="F62" s="38"/>
      <c r="G62" s="38"/>
      <c r="H62" s="38"/>
      <c r="I62" s="38"/>
      <c r="J62" s="38"/>
      <c r="K62" s="38"/>
      <c r="L62" s="38"/>
      <c r="M62" s="112"/>
      <c r="N62" s="113"/>
      <c r="O62" s="113"/>
      <c r="P62" s="113"/>
      <c r="Q62" s="113"/>
      <c r="R62" s="113"/>
      <c r="S62" s="113"/>
      <c r="T62" s="113"/>
      <c r="U62" s="113"/>
      <c r="V62" s="113"/>
    </row>
    <row r="63" spans="1:22" ht="12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12"/>
      <c r="N63" s="113"/>
      <c r="O63" s="113"/>
      <c r="P63" s="113"/>
      <c r="Q63" s="113"/>
      <c r="R63" s="113"/>
      <c r="S63" s="113"/>
      <c r="T63" s="113"/>
      <c r="U63" s="113"/>
      <c r="V63" s="113"/>
    </row>
    <row r="64" spans="1:22" ht="13.5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12"/>
      <c r="N64" s="113"/>
      <c r="O64" s="113"/>
      <c r="P64" s="113"/>
      <c r="Q64" s="113"/>
      <c r="R64" s="113"/>
      <c r="S64" s="113"/>
      <c r="T64" s="113"/>
      <c r="U64" s="113"/>
      <c r="V64" s="113"/>
    </row>
    <row r="65" spans="1:22" ht="13.5" thickBot="1">
      <c r="A65" s="164" t="s">
        <v>37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12"/>
      <c r="N65" s="113"/>
      <c r="O65" s="113"/>
      <c r="P65" s="113"/>
      <c r="Q65" s="113"/>
      <c r="R65" s="113"/>
      <c r="S65" s="113"/>
      <c r="T65" s="113"/>
      <c r="U65" s="113"/>
      <c r="V65" s="113"/>
    </row>
    <row r="66" spans="1:24" ht="27" customHeight="1">
      <c r="A66" s="39" t="s">
        <v>61</v>
      </c>
      <c r="B66" s="170" t="s">
        <v>98</v>
      </c>
      <c r="C66" s="170"/>
      <c r="D66" s="147">
        <f aca="true" t="shared" si="47" ref="D66:L66">(D7+D9-D11)/D6</f>
        <v>0.049870602310113116</v>
      </c>
      <c r="E66" s="147">
        <f t="shared" si="47"/>
        <v>0.02678738500120005</v>
      </c>
      <c r="F66" s="147">
        <f t="shared" si="47"/>
        <v>0.07073467464542613</v>
      </c>
      <c r="G66" s="147">
        <f t="shared" si="47"/>
        <v>0.08748642260086592</v>
      </c>
      <c r="H66" s="147">
        <f t="shared" si="47"/>
        <v>0.07844887638272782</v>
      </c>
      <c r="I66" s="147">
        <f t="shared" si="47"/>
        <v>0.07058205300493135</v>
      </c>
      <c r="J66" s="147">
        <f t="shared" si="47"/>
        <v>0.07413452232412336</v>
      </c>
      <c r="K66" s="147">
        <f t="shared" si="47"/>
        <v>0.07771804000904149</v>
      </c>
      <c r="L66" s="147">
        <f t="shared" si="47"/>
        <v>0.08127232912056434</v>
      </c>
      <c r="M66" s="147">
        <f aca="true" t="shared" si="48" ref="M66:X66">(M7+M9-M11)/M6</f>
        <v>0.08485630058127806</v>
      </c>
      <c r="N66" s="147">
        <f t="shared" si="48"/>
        <v>0.08841124321436412</v>
      </c>
      <c r="O66" s="147">
        <f t="shared" si="48"/>
        <v>0.09199449280543268</v>
      </c>
      <c r="P66" s="147">
        <f t="shared" si="48"/>
        <v>0.09556286392529365</v>
      </c>
      <c r="Q66" s="147">
        <f t="shared" si="48"/>
        <v>0.0991166540335611</v>
      </c>
      <c r="R66" s="147">
        <f t="shared" si="48"/>
        <v>0.10266949315483054</v>
      </c>
      <c r="S66" s="147">
        <f t="shared" si="48"/>
        <v>0.1062211163466713</v>
      </c>
      <c r="T66" s="147">
        <f t="shared" si="48"/>
        <v>0.1096580702151045</v>
      </c>
      <c r="U66" s="147">
        <f t="shared" si="48"/>
        <v>0.11305473013904221</v>
      </c>
      <c r="V66" s="147">
        <f t="shared" si="48"/>
        <v>0.11642144536404227</v>
      </c>
      <c r="W66" s="147">
        <f t="shared" si="48"/>
        <v>0.11055306721403647</v>
      </c>
      <c r="X66" s="147">
        <f t="shared" si="48"/>
        <v>0.1019056308293263</v>
      </c>
    </row>
    <row r="67" spans="1:24" ht="27" customHeight="1">
      <c r="A67" s="39" t="s">
        <v>62</v>
      </c>
      <c r="B67" s="166" t="s">
        <v>49</v>
      </c>
      <c r="C67" s="166"/>
      <c r="D67" s="52">
        <f aca="true" t="shared" si="49" ref="D67:L67">D6+D21-D10-D29</f>
        <v>4873230</v>
      </c>
      <c r="E67" s="52">
        <f t="shared" si="49"/>
        <v>-0.45000000298023224</v>
      </c>
      <c r="F67" s="52">
        <f t="shared" si="49"/>
        <v>0</v>
      </c>
      <c r="G67" s="52">
        <f t="shared" si="49"/>
        <v>0.2199999988079071</v>
      </c>
      <c r="H67" s="52">
        <f t="shared" si="49"/>
        <v>0</v>
      </c>
      <c r="I67" s="52">
        <f t="shared" si="49"/>
        <v>-0.48999999463558197</v>
      </c>
      <c r="J67" s="52">
        <f t="shared" si="49"/>
        <v>0.06000000238418579</v>
      </c>
      <c r="K67" s="52">
        <f t="shared" si="49"/>
        <v>0.35590000450611115</v>
      </c>
      <c r="L67" s="52">
        <f t="shared" si="49"/>
        <v>-0.2687615007162094</v>
      </c>
      <c r="M67" s="52">
        <f aca="true" t="shared" si="50" ref="M67:X67">M6+M21-M10-M29</f>
        <v>0.44690708816051483</v>
      </c>
      <c r="N67" s="52">
        <f t="shared" si="50"/>
        <v>-0.0663893073797226</v>
      </c>
      <c r="O67" s="52">
        <f t="shared" si="50"/>
        <v>0.23533985018730164</v>
      </c>
      <c r="P67" s="52">
        <f t="shared" si="50"/>
        <v>0.02886994183063507</v>
      </c>
      <c r="Q67" s="52">
        <f t="shared" si="50"/>
        <v>-0.17569701373577118</v>
      </c>
      <c r="R67" s="52">
        <f t="shared" si="50"/>
        <v>-0.07333245873451233</v>
      </c>
      <c r="S67" s="52">
        <f t="shared" si="50"/>
        <v>-0.32443246245384216</v>
      </c>
      <c r="T67" s="52">
        <f t="shared" si="50"/>
        <v>0</v>
      </c>
      <c r="U67" s="52">
        <f t="shared" si="50"/>
        <v>0</v>
      </c>
      <c r="V67" s="52">
        <f t="shared" si="50"/>
        <v>0</v>
      </c>
      <c r="W67" s="52">
        <f t="shared" si="50"/>
        <v>-0.3050000071525574</v>
      </c>
      <c r="X67" s="52">
        <f t="shared" si="50"/>
        <v>0</v>
      </c>
    </row>
    <row r="68" spans="1:24" ht="52.5" customHeight="1">
      <c r="A68" s="39" t="s">
        <v>63</v>
      </c>
      <c r="B68" s="157" t="s">
        <v>83</v>
      </c>
      <c r="C68" s="157"/>
      <c r="D68" s="53">
        <f aca="true" t="shared" si="51" ref="D68:L68">D7+D27+D28-D11</f>
        <v>3654107</v>
      </c>
      <c r="E68" s="53">
        <f t="shared" si="51"/>
        <v>784530.549999997</v>
      </c>
      <c r="F68" s="53">
        <f t="shared" si="51"/>
        <v>1023299</v>
      </c>
      <c r="G68" s="53">
        <f t="shared" si="51"/>
        <v>2023749</v>
      </c>
      <c r="H68" s="53">
        <f t="shared" si="51"/>
        <v>1200000</v>
      </c>
      <c r="I68" s="53">
        <f t="shared" si="51"/>
        <v>437617.51000000536</v>
      </c>
      <c r="J68" s="53">
        <f t="shared" si="51"/>
        <v>884677.0600000024</v>
      </c>
      <c r="K68" s="53">
        <f t="shared" si="51"/>
        <v>1345884.3559000045</v>
      </c>
      <c r="L68" s="53">
        <f t="shared" si="51"/>
        <v>1815450.7112385035</v>
      </c>
      <c r="M68" s="53">
        <f aca="true" t="shared" si="52" ref="M68:X68">M7+M27+M28-M11</f>
        <v>2299594.446907088</v>
      </c>
      <c r="N68" s="53">
        <f t="shared" si="52"/>
        <v>2792529.448610693</v>
      </c>
      <c r="O68" s="53">
        <f t="shared" si="52"/>
        <v>3300481.23533985</v>
      </c>
      <c r="P68" s="53">
        <f t="shared" si="52"/>
        <v>3819175.028869942</v>
      </c>
      <c r="Q68" s="53">
        <f t="shared" si="52"/>
        <v>4348840.824302986</v>
      </c>
      <c r="R68" s="53">
        <f t="shared" si="52"/>
        <v>4891190.461667538</v>
      </c>
      <c r="S68" s="53">
        <f t="shared" si="52"/>
        <v>5446461.698592544</v>
      </c>
      <c r="T68" s="53">
        <f t="shared" si="52"/>
        <v>5999667</v>
      </c>
      <c r="U68" s="53">
        <f>U7+U27+U28-U11</f>
        <v>6561661</v>
      </c>
      <c r="V68" s="53">
        <f t="shared" si="52"/>
        <v>7132128</v>
      </c>
      <c r="W68" s="53">
        <f t="shared" si="52"/>
        <v>6485642.069999993</v>
      </c>
      <c r="X68" s="53">
        <f t="shared" si="52"/>
        <v>5471520</v>
      </c>
    </row>
    <row r="69" spans="1:24" ht="27" customHeight="1">
      <c r="A69" s="39" t="s">
        <v>64</v>
      </c>
      <c r="B69" s="149" t="s">
        <v>76</v>
      </c>
      <c r="C69" s="149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27" customHeight="1">
      <c r="A70" s="39" t="s">
        <v>65</v>
      </c>
      <c r="B70" s="149" t="s">
        <v>77</v>
      </c>
      <c r="C70" s="149"/>
      <c r="D70" s="6"/>
      <c r="E70" s="6"/>
      <c r="F70" s="6"/>
      <c r="G70" s="6"/>
      <c r="H70" s="6"/>
      <c r="I70" s="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7" customHeight="1">
      <c r="A71" s="39" t="s">
        <v>70</v>
      </c>
      <c r="B71" s="155" t="s">
        <v>97</v>
      </c>
      <c r="C71" s="156"/>
      <c r="D71" s="6"/>
      <c r="E71" s="6"/>
      <c r="F71" s="6"/>
      <c r="G71" s="6"/>
      <c r="H71" s="6"/>
      <c r="I71" s="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7" customHeight="1">
      <c r="A72" s="39" t="s">
        <v>71</v>
      </c>
      <c r="B72" s="155" t="s">
        <v>82</v>
      </c>
      <c r="C72" s="156"/>
      <c r="D72" s="6"/>
      <c r="E72" s="6"/>
      <c r="F72" s="6"/>
      <c r="G72" s="6"/>
      <c r="H72" s="6"/>
      <c r="I72" s="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7" customHeight="1">
      <c r="A73" s="39" t="s">
        <v>72</v>
      </c>
      <c r="B73" s="149" t="s">
        <v>78</v>
      </c>
      <c r="C73" s="149"/>
      <c r="D73" s="54">
        <f>((D12-D69)+(D30-D70)+D13+D18-D71)/D6</f>
        <v>0.04505309321653189</v>
      </c>
      <c r="E73" s="54">
        <f>((E12-E69)+(E30-E70)+E13+E18-E71)/E6</f>
        <v>0.051812436190222064</v>
      </c>
      <c r="F73" s="54">
        <f>((F12-F69)+(F30-F70)+F13+F18-F71)/F6</f>
        <v>0.057879796154515786</v>
      </c>
      <c r="G73" s="54">
        <f>((G12-G69)+(G30-G70)+G13+G18-G71)/G6</f>
        <v>0.05904828941520437</v>
      </c>
      <c r="H73" s="54">
        <f>((H12-H69)+(H30-H70)+H13+H18-H71)/H6</f>
        <v>0.061039605285938804</v>
      </c>
      <c r="I73" s="54">
        <f aca="true" t="shared" si="53" ref="I73:X73">((I12-I69)+(I30-I70)+I13+I18-I71)/I6</f>
        <v>0.05645720858394955</v>
      </c>
      <c r="J73" s="54">
        <f t="shared" si="53"/>
        <v>0.055268416037829636</v>
      </c>
      <c r="K73" s="54">
        <f t="shared" si="53"/>
        <v>0.05404495841358615</v>
      </c>
      <c r="L73" s="54">
        <f t="shared" si="53"/>
        <v>0.05271841557604053</v>
      </c>
      <c r="M73" s="54">
        <f t="shared" si="53"/>
        <v>0.05126974862327074</v>
      </c>
      <c r="N73" s="54">
        <f t="shared" si="53"/>
        <v>0.04970038878271734</v>
      </c>
      <c r="O73" s="54">
        <f t="shared" si="53"/>
        <v>0.04801176856600001</v>
      </c>
      <c r="P73" s="54">
        <f t="shared" si="53"/>
        <v>0.04620532142268017</v>
      </c>
      <c r="Q73" s="54">
        <f t="shared" si="53"/>
        <v>0.044282481418320106</v>
      </c>
      <c r="R73" s="54">
        <f t="shared" si="53"/>
        <v>0.04224468293540452</v>
      </c>
      <c r="S73" s="54">
        <f t="shared" si="53"/>
        <v>0.04454578266911053</v>
      </c>
      <c r="T73" s="54">
        <f t="shared" si="53"/>
        <v>0.04483418854772418</v>
      </c>
      <c r="U73" s="54">
        <f t="shared" si="53"/>
        <v>0.04581450807519956</v>
      </c>
      <c r="V73" s="54">
        <f t="shared" si="53"/>
        <v>0.04497613489532782</v>
      </c>
      <c r="W73" s="54">
        <f t="shared" si="53"/>
        <v>0.036944601606022004</v>
      </c>
      <c r="X73" s="54">
        <f t="shared" si="53"/>
        <v>0.0005400089993258903</v>
      </c>
    </row>
    <row r="74" spans="1:24" ht="27" customHeight="1">
      <c r="A74" s="39" t="s">
        <v>73</v>
      </c>
      <c r="B74" s="149" t="s">
        <v>79</v>
      </c>
      <c r="C74" s="149"/>
      <c r="D74" s="54">
        <f>(D47-D72)/D6</f>
        <v>0.3963060357484629</v>
      </c>
      <c r="E74" s="54">
        <f>(E47-E72)/E6</f>
        <v>0.37779802509404725</v>
      </c>
      <c r="F74" s="54">
        <f>(F47-F72)/F6</f>
        <v>0.4176150387361711</v>
      </c>
      <c r="G74" s="54">
        <f>(G47-G72)/G6</f>
        <v>0.42479377811592633</v>
      </c>
      <c r="H74" s="54">
        <f>(H47-H72)/H6</f>
        <v>0.42175717190922407</v>
      </c>
      <c r="I74" s="54">
        <f aca="true" t="shared" si="54" ref="I74:X74">(I47-I72)/I6</f>
        <v>0.41719542805796384</v>
      </c>
      <c r="J74" s="54">
        <f t="shared" si="54"/>
        <v>0.40447472302222387</v>
      </c>
      <c r="K74" s="54">
        <f t="shared" si="54"/>
        <v>0.3888602337213436</v>
      </c>
      <c r="L74" s="54">
        <f t="shared" si="54"/>
        <v>0.3703846762599324</v>
      </c>
      <c r="M74" s="54">
        <f t="shared" si="54"/>
        <v>0.34908081311583505</v>
      </c>
      <c r="N74" s="54">
        <f t="shared" si="54"/>
        <v>0.3249814630032969</v>
      </c>
      <c r="O74" s="54">
        <f t="shared" si="54"/>
        <v>0.29811947218974677</v>
      </c>
      <c r="P74" s="54">
        <f t="shared" si="54"/>
        <v>0.26852770651861635</v>
      </c>
      <c r="Q74" s="54">
        <f t="shared" si="54"/>
        <v>0.23623904397820045</v>
      </c>
      <c r="R74" s="54">
        <f t="shared" si="54"/>
        <v>0.20128636778478806</v>
      </c>
      <c r="S74" s="54">
        <f t="shared" si="54"/>
        <v>0.16370254213981267</v>
      </c>
      <c r="T74" s="54">
        <f t="shared" si="54"/>
        <v>0.12285276904337386</v>
      </c>
      <c r="U74" s="54">
        <f t="shared" si="54"/>
        <v>0.07959743496037798</v>
      </c>
      <c r="V74" s="54">
        <f t="shared" si="54"/>
        <v>0.03577556160847123</v>
      </c>
      <c r="W74" s="54">
        <f t="shared" si="54"/>
        <v>0</v>
      </c>
      <c r="X74" s="54">
        <f t="shared" si="54"/>
        <v>0</v>
      </c>
    </row>
    <row r="75" spans="1:24" ht="27" customHeight="1">
      <c r="A75" s="39" t="s">
        <v>74</v>
      </c>
      <c r="B75" s="149" t="s">
        <v>80</v>
      </c>
      <c r="C75" s="149"/>
      <c r="D75" s="54">
        <f aca="true" t="shared" si="55" ref="D75:L75">(D30-D70+D12+D13+D18-D71)/D6</f>
        <v>0.04505309321653189</v>
      </c>
      <c r="E75" s="54">
        <f t="shared" si="55"/>
        <v>0.051812436190222064</v>
      </c>
      <c r="F75" s="54">
        <f t="shared" si="55"/>
        <v>0.057879796154515786</v>
      </c>
      <c r="G75" s="54">
        <f t="shared" si="55"/>
        <v>0.05904828941520437</v>
      </c>
      <c r="H75" s="54">
        <f t="shared" si="55"/>
        <v>0.061039605285938804</v>
      </c>
      <c r="I75" s="54">
        <f t="shared" si="55"/>
        <v>0.05645720858394955</v>
      </c>
      <c r="J75" s="54">
        <f t="shared" si="55"/>
        <v>0.055268416037829636</v>
      </c>
      <c r="K75" s="54">
        <f t="shared" si="55"/>
        <v>0.05404495841358615</v>
      </c>
      <c r="L75" s="54">
        <f t="shared" si="55"/>
        <v>0.05271841557604053</v>
      </c>
      <c r="M75" s="54">
        <f aca="true" t="shared" si="56" ref="M75:X75">(M30-M70+M12+M13+M18-M71)/M6</f>
        <v>0.05126974862327074</v>
      </c>
      <c r="N75" s="54">
        <f t="shared" si="56"/>
        <v>0.04970038878271734</v>
      </c>
      <c r="O75" s="54">
        <f t="shared" si="56"/>
        <v>0.04801176856600001</v>
      </c>
      <c r="P75" s="54">
        <f t="shared" si="56"/>
        <v>0.04620532142268017</v>
      </c>
      <c r="Q75" s="54">
        <f t="shared" si="56"/>
        <v>0.044282481418320106</v>
      </c>
      <c r="R75" s="54">
        <f t="shared" si="56"/>
        <v>0.04224468293540452</v>
      </c>
      <c r="S75" s="54">
        <f t="shared" si="56"/>
        <v>0.04454578266911053</v>
      </c>
      <c r="T75" s="54">
        <f t="shared" si="56"/>
        <v>0.04483418854772418</v>
      </c>
      <c r="U75" s="54">
        <f t="shared" si="56"/>
        <v>0.04581450807519956</v>
      </c>
      <c r="V75" s="54">
        <f t="shared" si="56"/>
        <v>0.04497613489532782</v>
      </c>
      <c r="W75" s="54">
        <f t="shared" si="56"/>
        <v>0.036944601606022004</v>
      </c>
      <c r="X75" s="54">
        <f t="shared" si="56"/>
        <v>0.0005400089993258903</v>
      </c>
    </row>
    <row r="76" spans="1:24" ht="51" customHeight="1">
      <c r="A76" s="39" t="s">
        <v>75</v>
      </c>
      <c r="B76" s="157" t="s">
        <v>89</v>
      </c>
      <c r="C76" s="157"/>
      <c r="D76" s="116" t="s">
        <v>54</v>
      </c>
      <c r="E76" s="146">
        <f aca="true" t="shared" si="57" ref="E76:X76">E53-E75</f>
        <v>0.0341387126591495</v>
      </c>
      <c r="F76" s="146">
        <f t="shared" si="57"/>
        <v>-0.005567960918650319</v>
      </c>
      <c r="G76" s="146">
        <f t="shared" si="57"/>
        <v>-0.009917402096291272</v>
      </c>
      <c r="H76" s="146">
        <f t="shared" si="57"/>
        <v>0.0006298887965585642</v>
      </c>
      <c r="I76" s="146">
        <f t="shared" si="57"/>
        <v>0.022432782625723735</v>
      </c>
      <c r="J76" s="146">
        <f t="shared" si="57"/>
        <v>0.02357070129167873</v>
      </c>
      <c r="K76" s="146">
        <f t="shared" si="57"/>
        <v>0.02034352549034136</v>
      </c>
      <c r="L76" s="146">
        <f t="shared" si="57"/>
        <v>0.021426456203324874</v>
      </c>
      <c r="M76" s="146">
        <f t="shared" si="57"/>
        <v>0.026438548527972332</v>
      </c>
      <c r="N76" s="146">
        <f t="shared" si="57"/>
        <v>0.03158183445424397</v>
      </c>
      <c r="O76" s="146">
        <f t="shared" si="57"/>
        <v>0.036834855739402164</v>
      </c>
      <c r="P76" s="146">
        <f t="shared" si="57"/>
        <v>0.04221535744434477</v>
      </c>
      <c r="Q76" s="146">
        <f t="shared" si="57"/>
        <v>0.04770705189671006</v>
      </c>
      <c r="R76" s="146">
        <f t="shared" si="57"/>
        <v>0.05331332065269129</v>
      </c>
      <c r="S76" s="146">
        <f t="shared" si="57"/>
        <v>0.05457055436878456</v>
      </c>
      <c r="T76" s="146">
        <f t="shared" si="57"/>
        <v>0.05783489929729679</v>
      </c>
      <c r="U76" s="146">
        <f t="shared" si="57"/>
        <v>0.060368385163669214</v>
      </c>
      <c r="V76" s="146">
        <f t="shared" si="57"/>
        <v>0.06466850400494484</v>
      </c>
      <c r="W76" s="146">
        <f t="shared" si="57"/>
        <v>0.07610014696670765</v>
      </c>
      <c r="X76" s="146">
        <f t="shared" si="57"/>
        <v>0.11280307190638109</v>
      </c>
    </row>
    <row r="77" spans="1:24" ht="54" customHeight="1" thickBot="1">
      <c r="A77" s="39" t="s">
        <v>81</v>
      </c>
      <c r="B77" s="153" t="s">
        <v>96</v>
      </c>
      <c r="C77" s="154"/>
      <c r="D77" s="9" t="s">
        <v>45</v>
      </c>
      <c r="E77" s="9" t="s">
        <v>45</v>
      </c>
      <c r="F77" s="9" t="s">
        <v>45</v>
      </c>
      <c r="G77" s="9" t="s">
        <v>45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2" ht="12.75">
      <c r="A78" s="19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112"/>
      <c r="N78" s="113"/>
      <c r="O78" s="113"/>
      <c r="P78" s="113"/>
      <c r="Q78" s="113"/>
      <c r="R78" s="113"/>
      <c r="S78" s="113"/>
      <c r="T78" s="113"/>
      <c r="U78" s="113"/>
      <c r="V78" s="113"/>
    </row>
    <row r="79" spans="1:22" ht="12.75">
      <c r="A79" s="19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112"/>
      <c r="N79" s="113"/>
      <c r="O79" s="113"/>
      <c r="P79" s="113"/>
      <c r="Q79" s="113"/>
      <c r="R79" s="113"/>
      <c r="S79" s="113"/>
      <c r="T79" s="113"/>
      <c r="U79" s="113"/>
      <c r="V79" s="113"/>
    </row>
    <row r="80" spans="1:22" ht="12.75">
      <c r="A80" s="19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112"/>
      <c r="N80" s="113"/>
      <c r="O80" s="113"/>
      <c r="P80" s="113"/>
      <c r="Q80" s="113"/>
      <c r="R80" s="113"/>
      <c r="S80" s="113"/>
      <c r="T80" s="113"/>
      <c r="U80" s="113"/>
      <c r="V80" s="113"/>
    </row>
    <row r="81" spans="1:22" ht="12.75">
      <c r="A81" s="19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112"/>
      <c r="N81" s="113"/>
      <c r="O81" s="113"/>
      <c r="P81" s="113"/>
      <c r="Q81" s="113"/>
      <c r="R81" s="113"/>
      <c r="S81" s="113"/>
      <c r="T81" s="113"/>
      <c r="U81" s="113"/>
      <c r="V81" s="113"/>
    </row>
    <row r="82" spans="1:22" ht="12.75">
      <c r="A82" s="17"/>
      <c r="B82" s="15"/>
      <c r="C82" s="18"/>
      <c r="D82" s="14"/>
      <c r="E82" s="14"/>
      <c r="F82" s="14"/>
      <c r="G82" s="14"/>
      <c r="H82" s="14"/>
      <c r="I82" s="14"/>
      <c r="J82" s="14"/>
      <c r="K82" s="14"/>
      <c r="L82" s="14"/>
      <c r="M82" s="114"/>
      <c r="N82" s="113"/>
      <c r="O82" s="113"/>
      <c r="P82" s="113"/>
      <c r="Q82" s="113"/>
      <c r="R82" s="113"/>
      <c r="S82" s="113"/>
      <c r="T82" s="113"/>
      <c r="U82" s="113"/>
      <c r="V82" s="113"/>
    </row>
    <row r="83" spans="13:22" ht="12.75">
      <c r="M83" s="113"/>
      <c r="N83" s="113"/>
      <c r="O83" s="113"/>
      <c r="P83" s="113"/>
      <c r="Q83" s="113"/>
      <c r="R83" s="113"/>
      <c r="S83" s="113"/>
      <c r="T83" s="113"/>
      <c r="U83" s="113"/>
      <c r="V83" s="113"/>
    </row>
    <row r="84" spans="13:22" ht="12.75">
      <c r="M84" s="113"/>
      <c r="N84" s="113"/>
      <c r="O84" s="113"/>
      <c r="P84" s="113"/>
      <c r="Q84" s="113"/>
      <c r="R84" s="113"/>
      <c r="S84" s="113"/>
      <c r="T84" s="113"/>
      <c r="U84" s="113"/>
      <c r="V84" s="113"/>
    </row>
    <row r="85" spans="13:22" ht="12.75">
      <c r="M85" s="113"/>
      <c r="N85" s="113"/>
      <c r="O85" s="113"/>
      <c r="P85" s="113"/>
      <c r="Q85" s="113"/>
      <c r="R85" s="113"/>
      <c r="S85" s="113"/>
      <c r="T85" s="113"/>
      <c r="U85" s="113"/>
      <c r="V85" s="113"/>
    </row>
    <row r="86" spans="13:22" ht="12.75">
      <c r="M86" s="113"/>
      <c r="N86" s="113"/>
      <c r="O86" s="113"/>
      <c r="P86" s="113"/>
      <c r="Q86" s="113"/>
      <c r="R86" s="113"/>
      <c r="S86" s="113"/>
      <c r="T86" s="113"/>
      <c r="U86" s="113"/>
      <c r="V86" s="113"/>
    </row>
    <row r="87" spans="13:22" ht="12.75">
      <c r="M87" s="113"/>
      <c r="N87" s="113"/>
      <c r="O87" s="113"/>
      <c r="P87" s="113"/>
      <c r="Q87" s="113"/>
      <c r="R87" s="113"/>
      <c r="S87" s="113"/>
      <c r="T87" s="113"/>
      <c r="U87" s="113"/>
      <c r="V87" s="113"/>
    </row>
    <row r="88" spans="13:22" ht="12.75">
      <c r="M88" s="113"/>
      <c r="N88" s="113"/>
      <c r="O88" s="113"/>
      <c r="P88" s="113"/>
      <c r="Q88" s="113"/>
      <c r="R88" s="113"/>
      <c r="S88" s="113"/>
      <c r="T88" s="113"/>
      <c r="U88" s="113"/>
      <c r="V88" s="113"/>
    </row>
    <row r="89" spans="13:22" ht="12.75">
      <c r="M89" s="113"/>
      <c r="N89" s="113"/>
      <c r="O89" s="113"/>
      <c r="P89" s="113"/>
      <c r="Q89" s="113"/>
      <c r="R89" s="113"/>
      <c r="S89" s="113"/>
      <c r="T89" s="113"/>
      <c r="U89" s="113"/>
      <c r="V89" s="113"/>
    </row>
    <row r="90" spans="13:22" ht="12.75">
      <c r="M90" s="113"/>
      <c r="N90" s="113"/>
      <c r="O90" s="113"/>
      <c r="P90" s="113"/>
      <c r="Q90" s="113"/>
      <c r="R90" s="113"/>
      <c r="S90" s="113"/>
      <c r="T90" s="113"/>
      <c r="U90" s="113"/>
      <c r="V90" s="113"/>
    </row>
    <row r="91" spans="13:22" ht="12.75">
      <c r="M91" s="113"/>
      <c r="N91" s="113"/>
      <c r="O91" s="113"/>
      <c r="P91" s="113"/>
      <c r="Q91" s="113"/>
      <c r="R91" s="113"/>
      <c r="S91" s="113"/>
      <c r="T91" s="113"/>
      <c r="U91" s="113"/>
      <c r="V91" s="113"/>
    </row>
    <row r="92" spans="13:22" ht="12.75">
      <c r="M92" s="113"/>
      <c r="N92" s="113"/>
      <c r="O92" s="113"/>
      <c r="P92" s="113"/>
      <c r="Q92" s="113"/>
      <c r="R92" s="113"/>
      <c r="S92" s="113"/>
      <c r="T92" s="113"/>
      <c r="U92" s="113"/>
      <c r="V92" s="113"/>
    </row>
    <row r="93" spans="13:22" ht="12.75">
      <c r="M93" s="113"/>
      <c r="N93" s="113"/>
      <c r="O93" s="113"/>
      <c r="P93" s="113"/>
      <c r="Q93" s="113"/>
      <c r="R93" s="113"/>
      <c r="S93" s="113"/>
      <c r="T93" s="113"/>
      <c r="U93" s="113"/>
      <c r="V93" s="113"/>
    </row>
    <row r="94" spans="13:22" ht="12.75">
      <c r="M94" s="113"/>
      <c r="N94" s="113"/>
      <c r="O94" s="113"/>
      <c r="P94" s="113"/>
      <c r="Q94" s="113"/>
      <c r="R94" s="113"/>
      <c r="S94" s="113"/>
      <c r="T94" s="113"/>
      <c r="U94" s="113"/>
      <c r="V94" s="113"/>
    </row>
    <row r="95" spans="13:22" ht="12.75">
      <c r="M95" s="113"/>
      <c r="N95" s="113"/>
      <c r="O95" s="113"/>
      <c r="P95" s="113"/>
      <c r="Q95" s="113"/>
      <c r="R95" s="113"/>
      <c r="S95" s="113"/>
      <c r="T95" s="113"/>
      <c r="U95" s="113"/>
      <c r="V95" s="113"/>
    </row>
    <row r="96" spans="13:22" ht="12.75">
      <c r="M96" s="113"/>
      <c r="N96" s="113"/>
      <c r="O96" s="113"/>
      <c r="P96" s="113"/>
      <c r="Q96" s="113"/>
      <c r="R96" s="113"/>
      <c r="S96" s="113"/>
      <c r="T96" s="113"/>
      <c r="U96" s="113"/>
      <c r="V96" s="113"/>
    </row>
    <row r="97" spans="13:22" ht="12.75">
      <c r="M97" s="113"/>
      <c r="N97" s="113"/>
      <c r="O97" s="113"/>
      <c r="P97" s="113"/>
      <c r="Q97" s="113"/>
      <c r="R97" s="113"/>
      <c r="S97" s="113"/>
      <c r="T97" s="113"/>
      <c r="U97" s="113"/>
      <c r="V97" s="113"/>
    </row>
    <row r="98" spans="13:22" ht="12.75">
      <c r="M98" s="113"/>
      <c r="N98" s="113"/>
      <c r="O98" s="113"/>
      <c r="P98" s="113"/>
      <c r="Q98" s="113"/>
      <c r="R98" s="113"/>
      <c r="S98" s="113"/>
      <c r="T98" s="113"/>
      <c r="U98" s="113"/>
      <c r="V98" s="113"/>
    </row>
    <row r="99" spans="13:22" ht="12.75">
      <c r="M99" s="113"/>
      <c r="N99" s="113"/>
      <c r="O99" s="113"/>
      <c r="P99" s="113"/>
      <c r="Q99" s="113"/>
      <c r="R99" s="113"/>
      <c r="S99" s="113"/>
      <c r="T99" s="113"/>
      <c r="U99" s="113"/>
      <c r="V99" s="113"/>
    </row>
  </sheetData>
  <sheetProtection/>
  <mergeCells count="55">
    <mergeCell ref="B5:C5"/>
    <mergeCell ref="B6:C6"/>
    <mergeCell ref="B10:C10"/>
    <mergeCell ref="B51:C51"/>
    <mergeCell ref="B23:B25"/>
    <mergeCell ref="C16:C18"/>
    <mergeCell ref="B21:C21"/>
    <mergeCell ref="B12:B18"/>
    <mergeCell ref="B31:B33"/>
    <mergeCell ref="B35:C35"/>
    <mergeCell ref="X16:X18"/>
    <mergeCell ref="S16:S18"/>
    <mergeCell ref="T16:T18"/>
    <mergeCell ref="U16:U18"/>
    <mergeCell ref="V16:V18"/>
    <mergeCell ref="W16:W18"/>
    <mergeCell ref="R16:R18"/>
    <mergeCell ref="J1:K1"/>
    <mergeCell ref="J16:J18"/>
    <mergeCell ref="O16:O18"/>
    <mergeCell ref="M16:M18"/>
    <mergeCell ref="N16:N18"/>
    <mergeCell ref="L16:L18"/>
    <mergeCell ref="Q16:Q18"/>
    <mergeCell ref="P16:P18"/>
    <mergeCell ref="K16:K18"/>
    <mergeCell ref="B36:C36"/>
    <mergeCell ref="H16:H18"/>
    <mergeCell ref="G16:G18"/>
    <mergeCell ref="D16:D18"/>
    <mergeCell ref="F16:F18"/>
    <mergeCell ref="B54:C54"/>
    <mergeCell ref="B53:C53"/>
    <mergeCell ref="B43:C43"/>
    <mergeCell ref="B50:C50"/>
    <mergeCell ref="B75:C75"/>
    <mergeCell ref="I16:I18"/>
    <mergeCell ref="B29:C29"/>
    <mergeCell ref="B68:C68"/>
    <mergeCell ref="B55:B61"/>
    <mergeCell ref="A65:L65"/>
    <mergeCell ref="B67:C67"/>
    <mergeCell ref="A55:A61"/>
    <mergeCell ref="B66:C66"/>
    <mergeCell ref="E16:E18"/>
    <mergeCell ref="B70:C70"/>
    <mergeCell ref="B69:C69"/>
    <mergeCell ref="B52:C52"/>
    <mergeCell ref="B47:C47"/>
    <mergeCell ref="B77:C77"/>
    <mergeCell ref="B71:C71"/>
    <mergeCell ref="B72:C72"/>
    <mergeCell ref="B73:C73"/>
    <mergeCell ref="B76:C76"/>
    <mergeCell ref="B74:C74"/>
  </mergeCells>
  <printOptions horizontalCentered="1"/>
  <pageMargins left="0.15748031496062992" right="0.15748031496062992" top="0.32" bottom="0.23" header="0.37" footer="0.23"/>
  <pageSetup horizontalDpi="600" verticalDpi="600" orientation="landscape" paperSize="9" scale="82" r:id="rId1"/>
  <rowBreaks count="1" manualBreakCount="1">
    <brk id="42" max="23" man="1"/>
  </rowBreaks>
  <colBreaks count="1" manualBreakCount="1">
    <brk id="11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3" width="13.125" style="0" customWidth="1"/>
    <col min="4" max="4" width="14.00390625" style="0" customWidth="1"/>
    <col min="5" max="5" width="10.125" style="0" customWidth="1"/>
  </cols>
  <sheetData>
    <row r="1" ht="12.75">
      <c r="E1" t="s">
        <v>91</v>
      </c>
    </row>
    <row r="3" ht="13.5" thickBot="1"/>
    <row r="4" spans="2:4" s="2" customFormat="1" ht="30" customHeight="1" thickBot="1">
      <c r="B4" s="100" t="s">
        <v>60</v>
      </c>
      <c r="C4" s="5"/>
      <c r="D4" s="128">
        <v>29300000</v>
      </c>
    </row>
    <row r="5" spans="2:4" ht="25.5" customHeight="1">
      <c r="B5" s="1"/>
      <c r="D5" s="4"/>
    </row>
    <row r="7" spans="1:5" ht="12.75" customHeight="1">
      <c r="A7" s="192" t="s">
        <v>102</v>
      </c>
      <c r="B7" s="192"/>
      <c r="C7" s="192"/>
      <c r="D7" s="192"/>
      <c r="E7" s="59"/>
    </row>
    <row r="8" spans="1:5" ht="24" customHeight="1">
      <c r="A8" s="192"/>
      <c r="B8" s="192"/>
      <c r="C8" s="192"/>
      <c r="D8" s="192"/>
      <c r="E8" s="59"/>
    </row>
    <row r="9" spans="1:5" ht="24" customHeight="1">
      <c r="A9" s="59"/>
      <c r="B9" s="60"/>
      <c r="C9" s="59"/>
      <c r="D9" s="69"/>
      <c r="E9" s="59"/>
    </row>
    <row r="10" spans="1:5" ht="13.5" thickBot="1">
      <c r="A10" s="59"/>
      <c r="B10" s="59"/>
      <c r="C10" s="59"/>
      <c r="D10" s="59"/>
      <c r="E10" s="59"/>
    </row>
    <row r="11" spans="1:5" s="3" customFormat="1" ht="30.75" customHeight="1" thickBot="1">
      <c r="A11" s="61" t="s">
        <v>41</v>
      </c>
      <c r="B11" s="62" t="s">
        <v>1</v>
      </c>
      <c r="C11" s="62">
        <v>2008</v>
      </c>
      <c r="D11" s="70">
        <v>2009</v>
      </c>
      <c r="E11" s="67"/>
    </row>
    <row r="12" spans="1:5" ht="39" customHeight="1">
      <c r="A12" s="63" t="s">
        <v>22</v>
      </c>
      <c r="B12" s="64" t="s">
        <v>38</v>
      </c>
      <c r="C12" s="55">
        <v>78105251.27</v>
      </c>
      <c r="D12" s="56">
        <v>79425670.09</v>
      </c>
      <c r="E12" s="59"/>
    </row>
    <row r="13" spans="1:5" ht="39" customHeight="1">
      <c r="A13" s="65" t="s">
        <v>23</v>
      </c>
      <c r="B13" s="66" t="s">
        <v>58</v>
      </c>
      <c r="C13" s="57">
        <v>4312734.26</v>
      </c>
      <c r="D13" s="58">
        <v>3073896.09</v>
      </c>
      <c r="E13" s="59"/>
    </row>
    <row r="14" spans="1:5" ht="39" customHeight="1">
      <c r="A14" s="65" t="s">
        <v>26</v>
      </c>
      <c r="B14" s="66" t="s">
        <v>39</v>
      </c>
      <c r="C14" s="57">
        <v>71782724.99</v>
      </c>
      <c r="D14" s="58">
        <v>75871286.02</v>
      </c>
      <c r="E14" s="68"/>
    </row>
    <row r="15" spans="1:5" ht="39" customHeight="1">
      <c r="A15" s="65" t="s">
        <v>27</v>
      </c>
      <c r="B15" s="66" t="s">
        <v>40</v>
      </c>
      <c r="C15" s="57">
        <v>83279694.64</v>
      </c>
      <c r="D15" s="58">
        <v>82567078.46</v>
      </c>
      <c r="E15" s="68"/>
    </row>
    <row r="16" spans="1:5" ht="39" customHeight="1" thickBot="1">
      <c r="A16" s="110" t="s">
        <v>67</v>
      </c>
      <c r="B16" s="111" t="s">
        <v>50</v>
      </c>
      <c r="C16" s="119">
        <f>(C12+C13-C14)/C15</f>
        <v>0.12770532584171837</v>
      </c>
      <c r="D16" s="120">
        <f>(D12+D13-D14)/D15</f>
        <v>0.08027751839628325</v>
      </c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</sheetData>
  <sheetProtection/>
  <mergeCells count="1">
    <mergeCell ref="A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="71" zoomScaleNormal="71" zoomScalePageLayoutView="0" workbookViewId="0" topLeftCell="A1">
      <selection activeCell="C3" sqref="C3:C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6" width="17.00390625" style="0" customWidth="1"/>
    <col min="7" max="7" width="13.25390625" style="0" customWidth="1"/>
    <col min="8" max="8" width="12.00390625" style="0" customWidth="1"/>
    <col min="9" max="26" width="10.125" style="0" customWidth="1"/>
    <col min="27" max="27" width="12.125" style="143" customWidth="1"/>
  </cols>
  <sheetData>
    <row r="1" spans="1:27" ht="61.5" customHeight="1">
      <c r="A1" s="75"/>
      <c r="C1" s="75"/>
      <c r="D1" s="75"/>
      <c r="E1" s="177" t="s">
        <v>127</v>
      </c>
      <c r="F1" s="178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41"/>
    </row>
    <row r="2" spans="1:27" ht="13.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41"/>
    </row>
    <row r="3" spans="1:27" ht="90" customHeight="1">
      <c r="A3" s="206" t="s">
        <v>41</v>
      </c>
      <c r="B3" s="208" t="s">
        <v>46</v>
      </c>
      <c r="C3" s="202" t="s">
        <v>42</v>
      </c>
      <c r="D3" s="202" t="s">
        <v>43</v>
      </c>
      <c r="E3" s="202" t="s">
        <v>51</v>
      </c>
      <c r="F3" s="117" t="s">
        <v>103</v>
      </c>
      <c r="G3" s="204" t="s">
        <v>109</v>
      </c>
      <c r="H3" s="205"/>
      <c r="I3" s="205"/>
      <c r="J3" s="205"/>
      <c r="K3" s="205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09" t="s">
        <v>110</v>
      </c>
    </row>
    <row r="4" spans="1:27" ht="13.5" thickBot="1">
      <c r="A4" s="207"/>
      <c r="B4" s="203"/>
      <c r="C4" s="203"/>
      <c r="D4" s="203"/>
      <c r="E4" s="203"/>
      <c r="F4" s="118"/>
      <c r="G4" s="76">
        <v>2011</v>
      </c>
      <c r="H4" s="76">
        <v>2012</v>
      </c>
      <c r="I4" s="76">
        <v>2013</v>
      </c>
      <c r="J4" s="77">
        <v>2014</v>
      </c>
      <c r="K4" s="77">
        <v>2015</v>
      </c>
      <c r="L4" s="77">
        <v>2016</v>
      </c>
      <c r="M4" s="77">
        <v>2017</v>
      </c>
      <c r="N4" s="77">
        <v>2018</v>
      </c>
      <c r="O4" s="77">
        <v>2019</v>
      </c>
      <c r="P4" s="77">
        <v>2020</v>
      </c>
      <c r="Q4" s="77">
        <v>2021</v>
      </c>
      <c r="R4" s="77">
        <v>2022</v>
      </c>
      <c r="S4" s="77">
        <v>2023</v>
      </c>
      <c r="T4" s="77">
        <v>2024</v>
      </c>
      <c r="U4" s="77">
        <v>2025</v>
      </c>
      <c r="V4" s="77">
        <v>2026</v>
      </c>
      <c r="W4" s="77">
        <v>2027</v>
      </c>
      <c r="X4" s="77">
        <v>2028</v>
      </c>
      <c r="Y4" s="77">
        <v>2029</v>
      </c>
      <c r="Z4" s="77">
        <v>2030</v>
      </c>
      <c r="AA4" s="210"/>
    </row>
    <row r="5" spans="1:27" ht="39.75" customHeight="1">
      <c r="A5" s="78" t="s">
        <v>21</v>
      </c>
      <c r="B5" s="79" t="s">
        <v>108</v>
      </c>
      <c r="C5" s="80" t="s">
        <v>59</v>
      </c>
      <c r="D5" s="81" t="s">
        <v>93</v>
      </c>
      <c r="E5" s="82">
        <f>SUM(F5:K5)</f>
        <v>0</v>
      </c>
      <c r="F5" s="121"/>
      <c r="G5" s="82">
        <f>Ciągłość!F11</f>
        <v>0</v>
      </c>
      <c r="H5" s="82">
        <f>Ciągłość!G11</f>
        <v>0</v>
      </c>
      <c r="I5" s="82">
        <f>Ciągłość!H11</f>
        <v>0</v>
      </c>
      <c r="J5" s="83">
        <f>Ciągłość!I11</f>
        <v>0</v>
      </c>
      <c r="K5" s="130">
        <f>Ciągłość!J11</f>
        <v>0</v>
      </c>
      <c r="L5" s="130">
        <f>Ciągłość!K11</f>
        <v>0</v>
      </c>
      <c r="M5" s="130">
        <f>Ciągłość!L11</f>
        <v>0</v>
      </c>
      <c r="N5" s="130">
        <f>Ciągłość!M11</f>
        <v>0</v>
      </c>
      <c r="O5" s="130">
        <f>Ciągłość!N11</f>
        <v>0</v>
      </c>
      <c r="P5" s="130">
        <f>Ciągłość!O11</f>
        <v>0</v>
      </c>
      <c r="Q5" s="130">
        <f>Ciągłość!P11</f>
        <v>0</v>
      </c>
      <c r="R5" s="130">
        <f>Ciągłość!Q11</f>
        <v>0</v>
      </c>
      <c r="S5" s="130">
        <f>Ciągłość!R11</f>
        <v>0</v>
      </c>
      <c r="T5" s="130">
        <f>Ciągłość!S11</f>
        <v>0</v>
      </c>
      <c r="U5" s="130">
        <f>Ciągłość!T11</f>
        <v>0</v>
      </c>
      <c r="V5" s="130">
        <f>Ciągłość!U11</f>
        <v>0</v>
      </c>
      <c r="W5" s="130">
        <f>Ciągłość!V11</f>
        <v>0</v>
      </c>
      <c r="X5" s="130">
        <f>Ciągłość!W11</f>
        <v>0</v>
      </c>
      <c r="Y5" s="130">
        <f>Ciągłość!X11</f>
        <v>0</v>
      </c>
      <c r="Z5" s="130">
        <f>Ciągłość!Y11</f>
        <v>0</v>
      </c>
      <c r="AA5" s="137">
        <f>Ciągłość!K11</f>
        <v>0</v>
      </c>
    </row>
    <row r="6" spans="1:27" ht="39.75" customHeight="1">
      <c r="A6" s="84" t="s">
        <v>24</v>
      </c>
      <c r="B6" s="193" t="s">
        <v>52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5"/>
    </row>
    <row r="7" spans="1:27" s="140" customFormat="1" ht="39.75" customHeight="1">
      <c r="A7" s="78">
        <v>1</v>
      </c>
      <c r="B7" s="85" t="s">
        <v>112</v>
      </c>
      <c r="C7" s="86" t="s">
        <v>113</v>
      </c>
      <c r="D7" s="86" t="s">
        <v>114</v>
      </c>
      <c r="E7" s="87">
        <f>SUM(F7:K7)</f>
        <v>666260</v>
      </c>
      <c r="F7" s="122">
        <v>0</v>
      </c>
      <c r="G7" s="88">
        <v>203920</v>
      </c>
      <c r="H7" s="88">
        <v>247340</v>
      </c>
      <c r="I7" s="88">
        <v>215000</v>
      </c>
      <c r="J7" s="89">
        <v>0</v>
      </c>
      <c r="K7" s="96">
        <v>0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144">
        <f>SUM(G7:K7)</f>
        <v>666260</v>
      </c>
    </row>
    <row r="8" spans="1:27" s="140" customFormat="1" ht="39.75" customHeight="1">
      <c r="A8" s="78">
        <v>2</v>
      </c>
      <c r="B8" s="85" t="s">
        <v>115</v>
      </c>
      <c r="C8" s="86" t="s">
        <v>113</v>
      </c>
      <c r="D8" s="86" t="s">
        <v>116</v>
      </c>
      <c r="E8" s="87">
        <f>SUM(F8:K8)</f>
        <v>79940</v>
      </c>
      <c r="F8" s="122">
        <v>0</v>
      </c>
      <c r="G8" s="88">
        <v>57580</v>
      </c>
      <c r="H8" s="88">
        <v>22360</v>
      </c>
      <c r="I8" s="88">
        <v>0</v>
      </c>
      <c r="J8" s="89">
        <v>0</v>
      </c>
      <c r="K8" s="96">
        <v>0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144">
        <f>SUM(G8:K8)</f>
        <v>79940</v>
      </c>
    </row>
    <row r="9" spans="1:27" s="140" customFormat="1" ht="39.75" customHeight="1">
      <c r="A9" s="78">
        <v>3</v>
      </c>
      <c r="B9" s="85"/>
      <c r="C9" s="86"/>
      <c r="D9" s="86"/>
      <c r="E9" s="87">
        <f>SUM(F9:K9)</f>
        <v>0</v>
      </c>
      <c r="F9" s="122"/>
      <c r="G9" s="88"/>
      <c r="H9" s="88"/>
      <c r="I9" s="88"/>
      <c r="J9" s="89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144">
        <f>SUM(G9:K9)</f>
        <v>0</v>
      </c>
    </row>
    <row r="10" spans="1:27" ht="19.5" customHeight="1">
      <c r="A10" s="198" t="s">
        <v>44</v>
      </c>
      <c r="B10" s="199"/>
      <c r="C10" s="90" t="s">
        <v>54</v>
      </c>
      <c r="D10" s="90" t="s">
        <v>54</v>
      </c>
      <c r="E10" s="91">
        <f aca="true" t="shared" si="0" ref="E10:AA10">SUM(E7:E9)</f>
        <v>746200</v>
      </c>
      <c r="F10" s="91">
        <f t="shared" si="0"/>
        <v>0</v>
      </c>
      <c r="G10" s="91">
        <f t="shared" si="0"/>
        <v>261500</v>
      </c>
      <c r="H10" s="91">
        <f t="shared" si="0"/>
        <v>269700</v>
      </c>
      <c r="I10" s="91">
        <f t="shared" si="0"/>
        <v>215000</v>
      </c>
      <c r="J10" s="92">
        <f t="shared" si="0"/>
        <v>0</v>
      </c>
      <c r="K10" s="92">
        <f t="shared" si="0"/>
        <v>0</v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0</v>
      </c>
      <c r="S10" s="92">
        <f t="shared" si="0"/>
        <v>0</v>
      </c>
      <c r="T10" s="92">
        <f t="shared" si="0"/>
        <v>0</v>
      </c>
      <c r="U10" s="92">
        <f t="shared" si="0"/>
        <v>0</v>
      </c>
      <c r="V10" s="92">
        <f t="shared" si="0"/>
        <v>0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3">
        <f t="shared" si="0"/>
        <v>746200</v>
      </c>
    </row>
    <row r="11" spans="1:27" ht="39.75" customHeight="1">
      <c r="A11" s="84" t="s">
        <v>25</v>
      </c>
      <c r="B11" s="193" t="s">
        <v>53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5"/>
    </row>
    <row r="12" spans="1:27" s="140" customFormat="1" ht="39.75" customHeight="1">
      <c r="A12" s="78"/>
      <c r="B12" s="94" t="s">
        <v>117</v>
      </c>
      <c r="C12" s="86" t="s">
        <v>113</v>
      </c>
      <c r="D12" s="86" t="s">
        <v>118</v>
      </c>
      <c r="E12" s="87">
        <f>SUM(F12:K12)</f>
        <v>11734423</v>
      </c>
      <c r="F12" s="122">
        <v>0</v>
      </c>
      <c r="G12" s="88">
        <v>1418866</v>
      </c>
      <c r="H12" s="88">
        <v>6503632</v>
      </c>
      <c r="I12" s="88">
        <v>3811925</v>
      </c>
      <c r="J12" s="89">
        <v>0</v>
      </c>
      <c r="K12" s="96">
        <v>0</v>
      </c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144">
        <f>SUM(G12:K12)</f>
        <v>11734423</v>
      </c>
    </row>
    <row r="13" spans="1:27" s="140" customFormat="1" ht="39.75" customHeight="1">
      <c r="A13" s="78">
        <v>2</v>
      </c>
      <c r="B13" s="94" t="s">
        <v>119</v>
      </c>
      <c r="C13" s="86" t="s">
        <v>113</v>
      </c>
      <c r="D13" s="86" t="s">
        <v>118</v>
      </c>
      <c r="E13" s="87">
        <f>SUM(F13:K13)</f>
        <v>4944268</v>
      </c>
      <c r="F13" s="122">
        <v>0</v>
      </c>
      <c r="G13" s="88">
        <v>3590468</v>
      </c>
      <c r="H13" s="88">
        <v>1353800</v>
      </c>
      <c r="I13" s="88">
        <v>0</v>
      </c>
      <c r="J13" s="88">
        <v>0</v>
      </c>
      <c r="K13" s="89">
        <v>0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144">
        <f>SUM(G13:K13)</f>
        <v>4944268</v>
      </c>
    </row>
    <row r="14" spans="1:27" s="140" customFormat="1" ht="39.75" customHeight="1">
      <c r="A14" s="78">
        <v>3</v>
      </c>
      <c r="B14" s="139" t="s">
        <v>122</v>
      </c>
      <c r="C14" s="86" t="s">
        <v>113</v>
      </c>
      <c r="D14" s="86" t="s">
        <v>116</v>
      </c>
      <c r="E14" s="87">
        <f>SUM(F14:K14)</f>
        <v>330000</v>
      </c>
      <c r="F14" s="122">
        <v>0</v>
      </c>
      <c r="G14" s="88">
        <v>30000</v>
      </c>
      <c r="H14" s="88">
        <v>150000</v>
      </c>
      <c r="I14" s="88">
        <v>150000</v>
      </c>
      <c r="J14" s="88">
        <v>0</v>
      </c>
      <c r="K14" s="89">
        <v>0</v>
      </c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144">
        <f>SUM(G14:K14)</f>
        <v>330000</v>
      </c>
    </row>
    <row r="15" spans="1:27" s="140" customFormat="1" ht="39.75" customHeight="1">
      <c r="A15" s="78">
        <v>4</v>
      </c>
      <c r="B15" s="139" t="s">
        <v>125</v>
      </c>
      <c r="C15" s="86" t="s">
        <v>113</v>
      </c>
      <c r="D15" s="86" t="s">
        <v>114</v>
      </c>
      <c r="E15" s="87">
        <v>2650000</v>
      </c>
      <c r="F15" s="122">
        <v>0</v>
      </c>
      <c r="G15" s="88">
        <v>150000</v>
      </c>
      <c r="H15" s="88">
        <v>2500000</v>
      </c>
      <c r="I15" s="88">
        <v>0</v>
      </c>
      <c r="J15" s="88">
        <v>0</v>
      </c>
      <c r="K15" s="89">
        <v>0</v>
      </c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144">
        <f>SUM(G15:K15)</f>
        <v>2650000</v>
      </c>
    </row>
    <row r="16" spans="1:27" s="140" customFormat="1" ht="39.75" customHeight="1">
      <c r="A16" s="78">
        <v>5</v>
      </c>
      <c r="B16" s="139" t="s">
        <v>126</v>
      </c>
      <c r="C16" s="86" t="s">
        <v>113</v>
      </c>
      <c r="D16" s="86" t="s">
        <v>114</v>
      </c>
      <c r="E16" s="87">
        <v>1100000</v>
      </c>
      <c r="F16" s="122">
        <v>0</v>
      </c>
      <c r="G16" s="88">
        <v>300000</v>
      </c>
      <c r="H16" s="88">
        <v>800000</v>
      </c>
      <c r="I16" s="88">
        <v>0</v>
      </c>
      <c r="J16" s="89">
        <v>0</v>
      </c>
      <c r="K16" s="89">
        <v>0</v>
      </c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144">
        <f>SUM(G16:K16)</f>
        <v>1100000</v>
      </c>
    </row>
    <row r="17" spans="1:27" ht="19.5" customHeight="1">
      <c r="A17" s="198" t="s">
        <v>44</v>
      </c>
      <c r="B17" s="199"/>
      <c r="C17" s="90" t="s">
        <v>54</v>
      </c>
      <c r="D17" s="90" t="s">
        <v>54</v>
      </c>
      <c r="E17" s="91">
        <f aca="true" t="shared" si="1" ref="E17:K17">SUM(E12:E16)</f>
        <v>20758691</v>
      </c>
      <c r="F17" s="91">
        <f t="shared" si="1"/>
        <v>0</v>
      </c>
      <c r="G17" s="132">
        <f t="shared" si="1"/>
        <v>5489334</v>
      </c>
      <c r="H17" s="132">
        <f t="shared" si="1"/>
        <v>11307432</v>
      </c>
      <c r="I17" s="132">
        <f t="shared" si="1"/>
        <v>3961925</v>
      </c>
      <c r="J17" s="133">
        <f t="shared" si="1"/>
        <v>0</v>
      </c>
      <c r="K17" s="133">
        <f t="shared" si="1"/>
        <v>0</v>
      </c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4">
        <f>SUM(AA12:AA16)</f>
        <v>20758691</v>
      </c>
    </row>
    <row r="18" spans="1:27" ht="39.75" customHeight="1">
      <c r="A18" s="84" t="s">
        <v>28</v>
      </c>
      <c r="B18" s="193" t="s">
        <v>92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5"/>
    </row>
    <row r="19" spans="1:28" s="140" customFormat="1" ht="39.75" customHeight="1">
      <c r="A19" s="78">
        <v>1</v>
      </c>
      <c r="B19" s="85" t="s">
        <v>120</v>
      </c>
      <c r="C19" s="80"/>
      <c r="D19" s="80" t="s">
        <v>121</v>
      </c>
      <c r="E19" s="82">
        <f>G19</f>
        <v>658300</v>
      </c>
      <c r="F19" s="121">
        <v>0</v>
      </c>
      <c r="G19" s="95">
        <v>658300</v>
      </c>
      <c r="H19" s="95">
        <v>658215</v>
      </c>
      <c r="I19" s="95">
        <v>657804</v>
      </c>
      <c r="J19" s="96">
        <v>594132.7</v>
      </c>
      <c r="K19" s="96">
        <v>70000</v>
      </c>
      <c r="L19" s="96">
        <v>70000</v>
      </c>
      <c r="M19" s="96">
        <v>70000</v>
      </c>
      <c r="N19" s="96">
        <v>70000</v>
      </c>
      <c r="O19" s="96">
        <v>70000</v>
      </c>
      <c r="P19" s="96">
        <v>70000</v>
      </c>
      <c r="Q19" s="96">
        <v>70000</v>
      </c>
      <c r="R19" s="96">
        <v>70000</v>
      </c>
      <c r="S19" s="96">
        <v>70000</v>
      </c>
      <c r="T19" s="96">
        <v>70000</v>
      </c>
      <c r="U19" s="96">
        <v>70000</v>
      </c>
      <c r="V19" s="96">
        <v>70000</v>
      </c>
      <c r="W19" s="96">
        <v>70000</v>
      </c>
      <c r="X19" s="96">
        <v>70000</v>
      </c>
      <c r="Y19" s="96">
        <v>69990</v>
      </c>
      <c r="Z19" s="96">
        <v>63343</v>
      </c>
      <c r="AA19" s="142"/>
      <c r="AB19" s="138"/>
    </row>
    <row r="20" spans="1:27" ht="19.5" customHeight="1" thickBot="1">
      <c r="A20" s="200" t="s">
        <v>44</v>
      </c>
      <c r="B20" s="201"/>
      <c r="C20" s="90" t="s">
        <v>54</v>
      </c>
      <c r="D20" s="90" t="s">
        <v>54</v>
      </c>
      <c r="E20" s="91">
        <f>SUM(E19:E19)</f>
        <v>658300</v>
      </c>
      <c r="F20" s="91">
        <f>SUM(F19)</f>
        <v>0</v>
      </c>
      <c r="G20" s="91">
        <f aca="true" t="shared" si="2" ref="G20:AA20">SUM(G19:G19)</f>
        <v>658300</v>
      </c>
      <c r="H20" s="91">
        <f t="shared" si="2"/>
        <v>658215</v>
      </c>
      <c r="I20" s="91">
        <f t="shared" si="2"/>
        <v>657804</v>
      </c>
      <c r="J20" s="92">
        <f t="shared" si="2"/>
        <v>594132.7</v>
      </c>
      <c r="K20" s="92">
        <f t="shared" si="2"/>
        <v>70000</v>
      </c>
      <c r="L20" s="92">
        <f t="shared" si="2"/>
        <v>70000</v>
      </c>
      <c r="M20" s="92">
        <f t="shared" si="2"/>
        <v>70000</v>
      </c>
      <c r="N20" s="92">
        <f t="shared" si="2"/>
        <v>70000</v>
      </c>
      <c r="O20" s="92">
        <f t="shared" si="2"/>
        <v>70000</v>
      </c>
      <c r="P20" s="92">
        <f t="shared" si="2"/>
        <v>70000</v>
      </c>
      <c r="Q20" s="92">
        <f t="shared" si="2"/>
        <v>70000</v>
      </c>
      <c r="R20" s="92">
        <f t="shared" si="2"/>
        <v>70000</v>
      </c>
      <c r="S20" s="92">
        <f t="shared" si="2"/>
        <v>70000</v>
      </c>
      <c r="T20" s="92">
        <f t="shared" si="2"/>
        <v>70000</v>
      </c>
      <c r="U20" s="92">
        <f t="shared" si="2"/>
        <v>70000</v>
      </c>
      <c r="V20" s="92">
        <f t="shared" si="2"/>
        <v>70000</v>
      </c>
      <c r="W20" s="92">
        <f t="shared" si="2"/>
        <v>70000</v>
      </c>
      <c r="X20" s="92">
        <f t="shared" si="2"/>
        <v>70000</v>
      </c>
      <c r="Y20" s="92">
        <f t="shared" si="2"/>
        <v>69990</v>
      </c>
      <c r="Z20" s="92">
        <f t="shared" si="2"/>
        <v>63343</v>
      </c>
      <c r="AA20" s="93">
        <f t="shared" si="2"/>
        <v>0</v>
      </c>
    </row>
    <row r="21" spans="1:27" ht="39" customHeight="1" thickBot="1" thickTop="1">
      <c r="A21" s="196" t="s">
        <v>66</v>
      </c>
      <c r="B21" s="197"/>
      <c r="C21" s="97" t="s">
        <v>54</v>
      </c>
      <c r="D21" s="97" t="s">
        <v>54</v>
      </c>
      <c r="E21" s="98">
        <f aca="true" t="shared" si="3" ref="E21:AA21">E5+E10+E17+E20</f>
        <v>22163191</v>
      </c>
      <c r="F21" s="98">
        <f t="shared" si="3"/>
        <v>0</v>
      </c>
      <c r="G21" s="98">
        <f t="shared" si="3"/>
        <v>6409134</v>
      </c>
      <c r="H21" s="98">
        <f t="shared" si="3"/>
        <v>12235347</v>
      </c>
      <c r="I21" s="98">
        <f t="shared" si="3"/>
        <v>4834729</v>
      </c>
      <c r="J21" s="98">
        <f t="shared" si="3"/>
        <v>594132.7</v>
      </c>
      <c r="K21" s="131">
        <f t="shared" si="3"/>
        <v>70000</v>
      </c>
      <c r="L21" s="131">
        <f t="shared" si="3"/>
        <v>70000</v>
      </c>
      <c r="M21" s="131">
        <f t="shared" si="3"/>
        <v>70000</v>
      </c>
      <c r="N21" s="131">
        <f t="shared" si="3"/>
        <v>70000</v>
      </c>
      <c r="O21" s="131">
        <f t="shared" si="3"/>
        <v>70000</v>
      </c>
      <c r="P21" s="131">
        <f t="shared" si="3"/>
        <v>70000</v>
      </c>
      <c r="Q21" s="131">
        <f t="shared" si="3"/>
        <v>70000</v>
      </c>
      <c r="R21" s="131">
        <f t="shared" si="3"/>
        <v>70000</v>
      </c>
      <c r="S21" s="131">
        <f t="shared" si="3"/>
        <v>70000</v>
      </c>
      <c r="T21" s="131">
        <f t="shared" si="3"/>
        <v>70000</v>
      </c>
      <c r="U21" s="131">
        <f t="shared" si="3"/>
        <v>70000</v>
      </c>
      <c r="V21" s="131">
        <f t="shared" si="3"/>
        <v>70000</v>
      </c>
      <c r="W21" s="131">
        <f t="shared" si="3"/>
        <v>70000</v>
      </c>
      <c r="X21" s="131">
        <f t="shared" si="3"/>
        <v>70000</v>
      </c>
      <c r="Y21" s="131">
        <f t="shared" si="3"/>
        <v>69990</v>
      </c>
      <c r="Z21" s="131">
        <f t="shared" si="3"/>
        <v>63343</v>
      </c>
      <c r="AA21" s="99">
        <f t="shared" si="3"/>
        <v>21504891</v>
      </c>
    </row>
    <row r="22" spans="1:27" ht="13.5" thickTop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141"/>
    </row>
    <row r="23" spans="1:27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141"/>
    </row>
  </sheetData>
  <sheetProtection/>
  <mergeCells count="15">
    <mergeCell ref="E1:F1"/>
    <mergeCell ref="C3:C4"/>
    <mergeCell ref="G3:K3"/>
    <mergeCell ref="A3:A4"/>
    <mergeCell ref="B3:B4"/>
    <mergeCell ref="AA3:AA4"/>
    <mergeCell ref="D3:D4"/>
    <mergeCell ref="E3:E4"/>
    <mergeCell ref="B6:AA6"/>
    <mergeCell ref="A21:B21"/>
    <mergeCell ref="A10:B10"/>
    <mergeCell ref="A17:B17"/>
    <mergeCell ref="A20:B20"/>
    <mergeCell ref="B18:AA18"/>
    <mergeCell ref="B11:AA11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73" r:id="rId1"/>
  <colBreaks count="1" manualBreakCount="1">
    <brk id="9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2">
      <selection activeCell="H11" sqref="H11"/>
    </sheetView>
  </sheetViews>
  <sheetFormatPr defaultColWidth="9.00390625" defaultRowHeight="12.75"/>
  <cols>
    <col min="1" max="1" width="9.125" style="11" customWidth="1"/>
    <col min="2" max="2" width="31.75390625" style="11" bestFit="1" customWidth="1"/>
    <col min="3" max="3" width="19.75390625" style="11" customWidth="1"/>
    <col min="4" max="4" width="13.375" style="11" customWidth="1"/>
    <col min="5" max="5" width="14.75390625" style="11" customWidth="1"/>
    <col min="6" max="10" width="15.75390625" style="11" customWidth="1"/>
    <col min="11" max="11" width="11.75390625" style="11" customWidth="1"/>
    <col min="12" max="16384" width="9.125" style="11" customWidth="1"/>
  </cols>
  <sheetData>
    <row r="1" spans="1:11" ht="12.75">
      <c r="A1" s="59"/>
      <c r="B1" s="59"/>
      <c r="C1" s="59"/>
      <c r="D1" s="59"/>
      <c r="E1" s="215" t="s">
        <v>90</v>
      </c>
      <c r="F1" s="215"/>
      <c r="G1" s="215"/>
      <c r="H1" s="215"/>
      <c r="I1" s="215"/>
      <c r="J1" s="215"/>
      <c r="K1" s="59"/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2" customFormat="1" ht="90" customHeight="1">
      <c r="A3" s="216" t="s">
        <v>41</v>
      </c>
      <c r="B3" s="218" t="s">
        <v>46</v>
      </c>
      <c r="C3" s="220" t="s">
        <v>42</v>
      </c>
      <c r="D3" s="220" t="s">
        <v>43</v>
      </c>
      <c r="E3" s="220" t="s">
        <v>51</v>
      </c>
      <c r="F3" s="223" t="s">
        <v>111</v>
      </c>
      <c r="G3" s="224"/>
      <c r="H3" s="224"/>
      <c r="I3" s="224"/>
      <c r="J3" s="225"/>
      <c r="K3" s="211" t="s">
        <v>110</v>
      </c>
    </row>
    <row r="4" spans="1:11" ht="13.5" thickBot="1">
      <c r="A4" s="217"/>
      <c r="B4" s="219"/>
      <c r="C4" s="221"/>
      <c r="D4" s="221"/>
      <c r="E4" s="222"/>
      <c r="F4" s="71">
        <v>2011</v>
      </c>
      <c r="G4" s="71">
        <v>2012</v>
      </c>
      <c r="H4" s="71">
        <v>2013</v>
      </c>
      <c r="I4" s="72">
        <v>2014</v>
      </c>
      <c r="J4" s="73">
        <v>2015</v>
      </c>
      <c r="K4" s="212"/>
    </row>
    <row r="5" spans="1:11" ht="39.75" customHeight="1">
      <c r="A5" s="65" t="s">
        <v>21</v>
      </c>
      <c r="B5" s="226" t="s">
        <v>108</v>
      </c>
      <c r="C5" s="227"/>
      <c r="D5" s="227"/>
      <c r="E5" s="227"/>
      <c r="F5" s="227"/>
      <c r="G5" s="227"/>
      <c r="H5" s="227"/>
      <c r="I5" s="227"/>
      <c r="J5" s="228"/>
      <c r="K5" s="135"/>
    </row>
    <row r="6" spans="1:11" ht="39.75" customHeight="1">
      <c r="A6" s="65">
        <v>1</v>
      </c>
      <c r="B6" s="102"/>
      <c r="C6" s="74"/>
      <c r="D6" s="74"/>
      <c r="E6" s="103"/>
      <c r="F6" s="45"/>
      <c r="G6" s="45"/>
      <c r="H6" s="45"/>
      <c r="I6" s="108"/>
      <c r="J6" s="109"/>
      <c r="K6" s="136"/>
    </row>
    <row r="7" spans="1:11" ht="39.75" customHeight="1">
      <c r="A7" s="65">
        <v>2</v>
      </c>
      <c r="B7" s="102"/>
      <c r="C7" s="74"/>
      <c r="D7" s="74"/>
      <c r="E7" s="103">
        <f>SUM(F7:J7)</f>
        <v>0</v>
      </c>
      <c r="F7" s="45"/>
      <c r="G7" s="45"/>
      <c r="H7" s="45"/>
      <c r="I7" s="108"/>
      <c r="J7" s="109"/>
      <c r="K7" s="136"/>
    </row>
    <row r="8" spans="1:11" ht="39.75" customHeight="1">
      <c r="A8" s="65">
        <v>3</v>
      </c>
      <c r="B8" s="102"/>
      <c r="C8" s="74"/>
      <c r="D8" s="74"/>
      <c r="E8" s="103">
        <f>SUM(F8:J8)</f>
        <v>0</v>
      </c>
      <c r="F8" s="45"/>
      <c r="G8" s="45"/>
      <c r="H8" s="45"/>
      <c r="I8" s="108"/>
      <c r="J8" s="109"/>
      <c r="K8" s="136"/>
    </row>
    <row r="9" spans="1:11" ht="39.75" customHeight="1">
      <c r="A9" s="65">
        <v>4</v>
      </c>
      <c r="B9" s="102"/>
      <c r="C9" s="74"/>
      <c r="D9" s="74"/>
      <c r="E9" s="103">
        <f>SUM(F9:J9)</f>
        <v>0</v>
      </c>
      <c r="F9" s="45"/>
      <c r="G9" s="45"/>
      <c r="H9" s="45"/>
      <c r="I9" s="108"/>
      <c r="J9" s="109"/>
      <c r="K9" s="136"/>
    </row>
    <row r="10" spans="1:11" ht="39.75" customHeight="1">
      <c r="A10" s="65">
        <v>5</v>
      </c>
      <c r="B10" s="102"/>
      <c r="C10" s="74"/>
      <c r="D10" s="74"/>
      <c r="E10" s="103">
        <f>SUM(F10:J10)</f>
        <v>0</v>
      </c>
      <c r="F10" s="45"/>
      <c r="G10" s="45"/>
      <c r="H10" s="45"/>
      <c r="I10" s="108"/>
      <c r="J10" s="109"/>
      <c r="K10" s="136"/>
    </row>
    <row r="11" spans="1:11" s="13" customFormat="1" ht="19.5" customHeight="1" thickBot="1">
      <c r="A11" s="213" t="s">
        <v>44</v>
      </c>
      <c r="B11" s="214"/>
      <c r="C11" s="105" t="s">
        <v>54</v>
      </c>
      <c r="D11" s="105" t="s">
        <v>54</v>
      </c>
      <c r="E11" s="104">
        <f aca="true" t="shared" si="0" ref="E11:K11">SUM(E6:E10)</f>
        <v>0</v>
      </c>
      <c r="F11" s="104">
        <f t="shared" si="0"/>
        <v>0</v>
      </c>
      <c r="G11" s="104">
        <f t="shared" si="0"/>
        <v>0</v>
      </c>
      <c r="H11" s="104">
        <f t="shared" si="0"/>
        <v>0</v>
      </c>
      <c r="I11" s="106">
        <f t="shared" si="0"/>
        <v>0</v>
      </c>
      <c r="J11" s="107">
        <f t="shared" si="0"/>
        <v>0</v>
      </c>
      <c r="K11" s="107">
        <f t="shared" si="0"/>
        <v>0</v>
      </c>
    </row>
  </sheetData>
  <sheetProtection/>
  <mergeCells count="10">
    <mergeCell ref="K3:K4"/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31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UM LĘBORK</cp:lastModifiedBy>
  <cp:lastPrinted>2011-09-08T06:59:19Z</cp:lastPrinted>
  <dcterms:created xsi:type="dcterms:W3CDTF">2009-10-11T13:25:47Z</dcterms:created>
  <dcterms:modified xsi:type="dcterms:W3CDTF">2011-09-08T07:21:37Z</dcterms:modified>
  <cp:category/>
  <cp:version/>
  <cp:contentType/>
  <cp:contentStatus/>
</cp:coreProperties>
</file>